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Knowledge Center\Resources\From the Ground Up-Business Toolkit\Toolkit section folders\Recordkeeping\"/>
    </mc:Choice>
  </mc:AlternateContent>
  <bookViews>
    <workbookView xWindow="0" yWindow="0" windowWidth="19200" windowHeight="6852"/>
  </bookViews>
  <sheets>
    <sheet name="Cow Calendar" sheetId="13" r:id="rId1"/>
    <sheet name="Heifer Numbers" sheetId="14" state="hidden" r:id="rId2"/>
    <sheet name="Monthly Cash Flow - Blank" sheetId="8" state="hidden" r:id="rId3"/>
    <sheet name="Agritourism Budget" sheetId="11" state="hidden" r:id="rId4"/>
    <sheet name="Cow-Calf Budget" sheetId="3" state="hidden" r:id="rId5"/>
    <sheet name="Cash to Accrual" sheetId="7" state="hidden" r:id="rId6"/>
  </sheets>
  <definedNames>
    <definedName name="_xlnm.Print_Area" localSheetId="4">'Cow-Calf Budget'!$A$1:$J$122</definedName>
    <definedName name="_xlnm.Print_Area" localSheetId="2">'Monthly Cash Flow - Blank'!$A$1:$AB$69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4" l="1"/>
  <c r="F32" i="14" s="1"/>
  <c r="F33" i="14" s="1"/>
  <c r="F34" i="14" s="1"/>
  <c r="F26" i="14" s="1"/>
  <c r="D31" i="14"/>
  <c r="D32" i="14" s="1"/>
  <c r="D33" i="14" s="1"/>
  <c r="D34" i="14" s="1"/>
  <c r="D26" i="14" s="1"/>
  <c r="F23" i="14"/>
  <c r="F24" i="14" s="1"/>
  <c r="F17" i="14" s="1"/>
  <c r="D23" i="14"/>
  <c r="D24" i="14" s="1"/>
  <c r="D17" i="14" s="1"/>
  <c r="F22" i="14"/>
  <c r="D22" i="14"/>
  <c r="F13" i="14"/>
  <c r="D13" i="14"/>
  <c r="C16" i="13"/>
  <c r="C13" i="13"/>
  <c r="C14" i="13" s="1"/>
  <c r="C18" i="13" s="1"/>
  <c r="G17" i="14" l="1"/>
  <c r="F18" i="14"/>
  <c r="G18" i="14" s="1"/>
  <c r="D27" i="14"/>
  <c r="E27" i="14" s="1"/>
  <c r="E26" i="14"/>
  <c r="E17" i="14"/>
  <c r="D18" i="14"/>
  <c r="E18" i="14" s="1"/>
  <c r="G26" i="14"/>
  <c r="F27" i="14"/>
  <c r="G27" i="14" s="1"/>
  <c r="E7" i="11" l="1"/>
  <c r="E11" i="11"/>
  <c r="E12" i="11"/>
  <c r="E13" i="11"/>
  <c r="E14" i="11"/>
  <c r="E6" i="11"/>
  <c r="E8" i="11" s="1"/>
  <c r="E15" i="11" l="1"/>
  <c r="E17" i="11" s="1"/>
  <c r="H52" i="8" l="1"/>
  <c r="F52" i="8"/>
  <c r="AB48" i="8"/>
  <c r="Z46" i="8"/>
  <c r="R46" i="8"/>
  <c r="J46" i="8"/>
  <c r="Z45" i="8"/>
  <c r="X45" i="8"/>
  <c r="V45" i="8"/>
  <c r="T45" i="8"/>
  <c r="R45" i="8"/>
  <c r="P45" i="8"/>
  <c r="N45" i="8"/>
  <c r="L45" i="8"/>
  <c r="J45" i="8"/>
  <c r="H45" i="8"/>
  <c r="F45" i="8"/>
  <c r="D45" i="8"/>
  <c r="AB43" i="8"/>
  <c r="AB42" i="8"/>
  <c r="AB41" i="8"/>
  <c r="AB40" i="8"/>
  <c r="AB39" i="8"/>
  <c r="AB38" i="8"/>
  <c r="AB37" i="8"/>
  <c r="AB36" i="8"/>
  <c r="AB35" i="8"/>
  <c r="AB34" i="8"/>
  <c r="AB33" i="8"/>
  <c r="AB32" i="8"/>
  <c r="AB31" i="8"/>
  <c r="AB30" i="8"/>
  <c r="AB29" i="8"/>
  <c r="AB28" i="8"/>
  <c r="AB27" i="8"/>
  <c r="AB26" i="8"/>
  <c r="AB25" i="8"/>
  <c r="AB24" i="8"/>
  <c r="AB23" i="8"/>
  <c r="AB22" i="8"/>
  <c r="AB21" i="8"/>
  <c r="AB20" i="8"/>
  <c r="AB19" i="8"/>
  <c r="AB18" i="8"/>
  <c r="AB17" i="8"/>
  <c r="AB16" i="8"/>
  <c r="AB45" i="8" s="1"/>
  <c r="Z13" i="8"/>
  <c r="X13" i="8"/>
  <c r="X46" i="8" s="1"/>
  <c r="V13" i="8"/>
  <c r="V46" i="8" s="1"/>
  <c r="T13" i="8"/>
  <c r="T46" i="8" s="1"/>
  <c r="R13" i="8"/>
  <c r="P13" i="8"/>
  <c r="P46" i="8" s="1"/>
  <c r="N13" i="8"/>
  <c r="N46" i="8" s="1"/>
  <c r="L13" i="8"/>
  <c r="L46" i="8" s="1"/>
  <c r="J13" i="8"/>
  <c r="H13" i="8"/>
  <c r="H46" i="8" s="1"/>
  <c r="F13" i="8"/>
  <c r="F46" i="8" s="1"/>
  <c r="D13" i="8"/>
  <c r="D46" i="8" s="1"/>
  <c r="D50" i="8" s="1"/>
  <c r="AB11" i="8"/>
  <c r="AB10" i="8"/>
  <c r="AB9" i="8"/>
  <c r="AB8" i="8"/>
  <c r="AB7" i="8"/>
  <c r="AB6" i="8"/>
  <c r="AB13" i="8" s="1"/>
  <c r="AB46" i="8" s="1"/>
  <c r="AB50" i="8" s="1"/>
  <c r="G35" i="7"/>
  <c r="G34" i="7"/>
  <c r="G33" i="7"/>
  <c r="G32" i="7"/>
  <c r="G29" i="7"/>
  <c r="G28" i="7"/>
  <c r="G27" i="7"/>
  <c r="G26" i="7"/>
  <c r="G25" i="7"/>
  <c r="G21" i="7"/>
  <c r="G36" i="7" s="1"/>
  <c r="G14" i="7"/>
  <c r="G13" i="7"/>
  <c r="G12" i="7"/>
  <c r="G6" i="7"/>
  <c r="G5" i="7"/>
  <c r="G41" i="7" s="1"/>
  <c r="D56" i="8" l="1"/>
  <c r="D54" i="8"/>
  <c r="J52" i="8"/>
  <c r="G16" i="7"/>
  <c r="G39" i="7" s="1"/>
  <c r="G43" i="7" s="1"/>
  <c r="L52" i="8" l="1"/>
  <c r="D58" i="8"/>
  <c r="D60" i="8" l="1"/>
  <c r="D62" i="8" s="1"/>
  <c r="N52" i="8"/>
  <c r="P52" i="8" l="1"/>
  <c r="D68" i="8"/>
  <c r="F48" i="8" s="1"/>
  <c r="F50" i="8" s="1"/>
  <c r="D64" i="8"/>
  <c r="D66" i="8" s="1"/>
  <c r="F54" i="8" l="1"/>
  <c r="F56" i="8"/>
  <c r="R52" i="8"/>
  <c r="F58" i="8"/>
  <c r="F60" i="8" l="1"/>
  <c r="T52" i="8"/>
  <c r="F62" i="8"/>
  <c r="F64" i="8" l="1"/>
  <c r="F66" i="8" s="1"/>
  <c r="V52" i="8"/>
  <c r="X52" i="8" l="1"/>
  <c r="F68" i="8"/>
  <c r="H48" i="8" s="1"/>
  <c r="H50" i="8" s="1"/>
  <c r="Z52" i="8" l="1"/>
  <c r="H54" i="8"/>
  <c r="H56" i="8"/>
  <c r="H58" i="8" l="1"/>
  <c r="H60" i="8" l="1"/>
  <c r="H62" i="8" s="1"/>
  <c r="H64" i="8" l="1"/>
  <c r="H66" i="8" s="1"/>
  <c r="H68" i="8" l="1"/>
  <c r="J48" i="8" s="1"/>
  <c r="J50" i="8" s="1"/>
  <c r="J54" i="8" l="1"/>
  <c r="J56" i="8"/>
  <c r="J58" i="8" l="1"/>
  <c r="J60" i="8" l="1"/>
  <c r="J62" i="8" s="1"/>
  <c r="J64" i="8" l="1"/>
  <c r="J66" i="8" s="1"/>
  <c r="J68" i="8" l="1"/>
  <c r="L48" i="8" s="1"/>
  <c r="L50" i="8" s="1"/>
  <c r="L54" i="8" l="1"/>
  <c r="L56" i="8"/>
  <c r="L58" i="8" s="1"/>
  <c r="L60" i="8" l="1"/>
  <c r="L62" i="8"/>
  <c r="L64" i="8" s="1"/>
  <c r="L66" i="8" s="1"/>
  <c r="L68" i="8" l="1"/>
  <c r="N48" i="8" s="1"/>
  <c r="N50" i="8" s="1"/>
  <c r="N54" i="8" l="1"/>
  <c r="N56" i="8"/>
  <c r="N58" i="8" s="1"/>
  <c r="N60" i="8" l="1"/>
  <c r="N62" i="8"/>
  <c r="N64" i="8" l="1"/>
  <c r="N66" i="8" s="1"/>
  <c r="N68" i="8" l="1"/>
  <c r="P48" i="8" s="1"/>
  <c r="P50" i="8" s="1"/>
  <c r="P54" i="8" l="1"/>
  <c r="P56" i="8"/>
  <c r="P58" i="8" s="1"/>
  <c r="P60" i="8" l="1"/>
  <c r="P62" i="8"/>
  <c r="P64" i="8" l="1"/>
  <c r="P66" i="8" s="1"/>
  <c r="P68" i="8" l="1"/>
  <c r="R48" i="8" s="1"/>
  <c r="R50" i="8" s="1"/>
  <c r="R54" i="8" l="1"/>
  <c r="R56" i="8"/>
  <c r="R58" i="8" s="1"/>
  <c r="R60" i="8" l="1"/>
  <c r="R62" i="8"/>
  <c r="R68" i="8" s="1"/>
  <c r="T48" i="8" s="1"/>
  <c r="T50" i="8" s="1"/>
  <c r="R64" i="8"/>
  <c r="R66" i="8" s="1"/>
  <c r="T54" i="8" l="1"/>
  <c r="T56" i="8"/>
  <c r="T58" i="8" s="1"/>
  <c r="T60" i="8" l="1"/>
  <c r="T62" i="8"/>
  <c r="T64" i="8" l="1"/>
  <c r="T66" i="8" s="1"/>
  <c r="T68" i="8" l="1"/>
  <c r="V48" i="8" s="1"/>
  <c r="V50" i="8" s="1"/>
  <c r="V54" i="8" l="1"/>
  <c r="V56" i="8"/>
  <c r="V58" i="8" s="1"/>
  <c r="V60" i="8" l="1"/>
  <c r="V64" i="8"/>
  <c r="V66" i="8" s="1"/>
  <c r="V62" i="8"/>
  <c r="V68" i="8" s="1"/>
  <c r="X48" i="8" s="1"/>
  <c r="X50" i="8" s="1"/>
  <c r="X54" i="8" l="1"/>
  <c r="X56" i="8"/>
  <c r="X58" i="8" l="1"/>
  <c r="X60" i="8" l="1"/>
  <c r="X62" i="8" s="1"/>
  <c r="X64" i="8" l="1"/>
  <c r="X66" i="8" s="1"/>
  <c r="X68" i="8" l="1"/>
  <c r="Z48" i="8" s="1"/>
  <c r="Z50" i="8" s="1"/>
  <c r="Z54" i="8" l="1"/>
  <c r="Z56" i="8"/>
  <c r="AB56" i="8" l="1"/>
  <c r="Z58" i="8"/>
  <c r="Z60" i="8" l="1"/>
  <c r="Z62" i="8" l="1"/>
  <c r="AB62" i="8" l="1"/>
  <c r="Z64" i="8"/>
  <c r="Z66" i="8" s="1"/>
  <c r="Z68" i="8"/>
  <c r="AB60" i="8"/>
  <c r="AB66" i="8" l="1"/>
  <c r="AB58" i="8"/>
  <c r="AB68" i="8"/>
  <c r="J117" i="3" l="1"/>
  <c r="I115" i="3"/>
  <c r="I114" i="3"/>
  <c r="I113" i="3"/>
  <c r="I110" i="3"/>
  <c r="I109" i="3"/>
  <c r="I108" i="3"/>
  <c r="I107" i="3"/>
  <c r="I106" i="3"/>
  <c r="I103" i="3"/>
  <c r="I102" i="3"/>
  <c r="I101" i="3"/>
  <c r="I100" i="3"/>
  <c r="F99" i="3"/>
  <c r="I99" i="3" s="1"/>
  <c r="I98" i="3"/>
  <c r="A97" i="3"/>
  <c r="J104" i="3" s="1"/>
  <c r="I95" i="3"/>
  <c r="I94" i="3"/>
  <c r="I93" i="3"/>
  <c r="I92" i="3"/>
  <c r="I91" i="3"/>
  <c r="F91" i="3"/>
  <c r="I90" i="3"/>
  <c r="I89" i="3"/>
  <c r="D88" i="3"/>
  <c r="A88" i="3"/>
  <c r="J84" i="3"/>
  <c r="J83" i="3"/>
  <c r="J82" i="3"/>
  <c r="J86" i="3" s="1"/>
  <c r="H68" i="3"/>
  <c r="A112" i="3" s="1"/>
  <c r="J116" i="3" s="1"/>
  <c r="G68" i="3"/>
  <c r="A105" i="3" s="1"/>
  <c r="J111" i="3" s="1"/>
  <c r="F68" i="3"/>
  <c r="E68" i="3"/>
  <c r="J74" i="3" s="1"/>
  <c r="H21" i="3" s="1"/>
  <c r="I21" i="3" s="1"/>
  <c r="D68" i="3"/>
  <c r="A65" i="3"/>
  <c r="B58" i="3"/>
  <c r="B57" i="3"/>
  <c r="B56" i="3"/>
  <c r="B54" i="3"/>
  <c r="B53" i="3"/>
  <c r="J51" i="3"/>
  <c r="I51" i="3"/>
  <c r="H51" i="3"/>
  <c r="F51" i="3"/>
  <c r="E51" i="3"/>
  <c r="D51" i="3"/>
  <c r="H40" i="3"/>
  <c r="I40" i="3" s="1"/>
  <c r="I39" i="3"/>
  <c r="H39" i="3"/>
  <c r="H38" i="3"/>
  <c r="I38" i="3" s="1"/>
  <c r="I37" i="3"/>
  <c r="H37" i="3"/>
  <c r="H36" i="3"/>
  <c r="I36" i="3" s="1"/>
  <c r="H32" i="3"/>
  <c r="I32" i="3" s="1"/>
  <c r="H31" i="3"/>
  <c r="I31" i="3" s="1"/>
  <c r="H30" i="3"/>
  <c r="I30" i="3" s="1"/>
  <c r="H28" i="3"/>
  <c r="I28" i="3" s="1"/>
  <c r="H27" i="3"/>
  <c r="I26" i="3"/>
  <c r="H26" i="3"/>
  <c r="I25" i="3"/>
  <c r="E24" i="3"/>
  <c r="A24" i="3"/>
  <c r="E23" i="3"/>
  <c r="A23" i="3"/>
  <c r="E22" i="3"/>
  <c r="A22" i="3"/>
  <c r="E21" i="3"/>
  <c r="A21" i="3"/>
  <c r="E20" i="3"/>
  <c r="A20" i="3"/>
  <c r="E19" i="3"/>
  <c r="A19" i="3"/>
  <c r="E18" i="3"/>
  <c r="A18" i="3"/>
  <c r="B14" i="3"/>
  <c r="H29" i="3" s="1"/>
  <c r="I29" i="3" s="1"/>
  <c r="I13" i="3"/>
  <c r="H13" i="3"/>
  <c r="B13" i="3"/>
  <c r="H33" i="3" s="1"/>
  <c r="H12" i="3"/>
  <c r="I12" i="3" s="1"/>
  <c r="B12" i="3"/>
  <c r="B11" i="3"/>
  <c r="H35" i="3" s="1"/>
  <c r="J96" i="3" l="1"/>
  <c r="J119" i="3" s="1"/>
  <c r="F27" i="3" s="1"/>
  <c r="I27" i="3" s="1"/>
  <c r="J71" i="3"/>
  <c r="H18" i="3" s="1"/>
  <c r="I18" i="3" s="1"/>
  <c r="J75" i="3"/>
  <c r="H22" i="3" s="1"/>
  <c r="I22" i="3" s="1"/>
  <c r="H14" i="3"/>
  <c r="I14" i="3" s="1"/>
  <c r="F33" i="3" s="1"/>
  <c r="I33" i="3" s="1"/>
  <c r="J72" i="3"/>
  <c r="H19" i="3" s="1"/>
  <c r="I19" i="3" s="1"/>
  <c r="J76" i="3"/>
  <c r="H23" i="3" s="1"/>
  <c r="I23" i="3" s="1"/>
  <c r="H11" i="3"/>
  <c r="I11" i="3" s="1"/>
  <c r="I15" i="3" s="1"/>
  <c r="H34" i="3"/>
  <c r="I34" i="3" s="1"/>
  <c r="J73" i="3"/>
  <c r="H20" i="3" s="1"/>
  <c r="I20" i="3" s="1"/>
  <c r="J77" i="3"/>
  <c r="H24" i="3" s="1"/>
  <c r="I24" i="3" s="1"/>
  <c r="G15" i="3" l="1"/>
  <c r="F35" i="3"/>
  <c r="I35" i="3" s="1"/>
  <c r="H41" i="3" s="1"/>
  <c r="I41" i="3" s="1"/>
  <c r="I43" i="3" l="1"/>
  <c r="G43" i="3" l="1"/>
  <c r="H58" i="3"/>
  <c r="H56" i="3"/>
  <c r="G54" i="3"/>
  <c r="G57" i="3"/>
  <c r="F54" i="3"/>
  <c r="F58" i="3"/>
  <c r="F56" i="3"/>
  <c r="E54" i="3"/>
  <c r="E58" i="3"/>
  <c r="E56" i="3"/>
  <c r="D54" i="3"/>
  <c r="D57" i="3"/>
  <c r="G58" i="3"/>
  <c r="J54" i="3"/>
  <c r="J56" i="3"/>
  <c r="I58" i="3"/>
  <c r="I56" i="3"/>
  <c r="I47" i="3"/>
  <c r="G47" i="3" s="1"/>
  <c r="D58" i="3"/>
  <c r="D56" i="3"/>
  <c r="G53" i="3"/>
  <c r="G56" i="3"/>
  <c r="J53" i="3"/>
  <c r="J57" i="3"/>
  <c r="J55" i="3"/>
  <c r="I53" i="3"/>
  <c r="I57" i="3"/>
  <c r="I55" i="3"/>
  <c r="H53" i="3"/>
  <c r="H57" i="3"/>
  <c r="H55" i="3"/>
  <c r="G55" i="3"/>
  <c r="F53" i="3"/>
  <c r="F57" i="3"/>
  <c r="F55" i="3"/>
  <c r="E53" i="3"/>
  <c r="E57" i="3"/>
  <c r="E55" i="3"/>
  <c r="D53" i="3"/>
  <c r="D55" i="3"/>
  <c r="J58" i="3"/>
  <c r="I54" i="3"/>
  <c r="H54" i="3"/>
</calcChain>
</file>

<file path=xl/comments1.xml><?xml version="1.0" encoding="utf-8"?>
<comments xmlns="http://schemas.openxmlformats.org/spreadsheetml/2006/main">
  <authors>
    <author>Alex White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This is the date she has her calf and enters the lactating herd.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This is the average number of days from the date of successful breeding to the date of calving.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This is the number of days that you plan to milk the cow.  305 days is considered a "standard lactation".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This is the number of days after calving that you will wait before you breed her.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This is the number of days from the beginning of 1 heat period to the next.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The estimated number of times she will be bred before "she takes".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This is the earliest date that you want to breed her after she calves.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This is the expected date when she is successfully bred.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This is the date when she will leave the lactating herd and enter the dry cow herd.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This is the expected date of becoming a momma.</t>
        </r>
      </text>
    </comment>
  </commentList>
</comments>
</file>

<file path=xl/comments2.xml><?xml version="1.0" encoding="utf-8"?>
<comments xmlns="http://schemas.openxmlformats.org/spreadsheetml/2006/main">
  <authors>
    <author>Alex White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your Checking Account Balance for January 1.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minimum cash balance you want to keep on hand or in your checking account.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APR for your Operating Line of Credit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outstanding balance of your operating loan as of January 1.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amount of accrued interest on your operating loan as of January 1.</t>
        </r>
      </text>
    </comment>
  </commentList>
</comments>
</file>

<file path=xl/comments3.xml><?xml version="1.0" encoding="utf-8"?>
<comments xmlns="http://schemas.openxmlformats.org/spreadsheetml/2006/main">
  <authors>
    <author>Eric Eberly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Equal to or less than Total Cows &amp; Heifers in cell E4.</t>
        </r>
      </text>
    </comment>
    <comment ref="A7" authorId="0" shapeId="0">
      <text>
        <r>
          <rPr>
            <sz val="8"/>
            <color indexed="81"/>
            <rFont val="Tahoma"/>
            <family val="2"/>
          </rPr>
          <t xml:space="preserve">Percent of all Cows and Heifers that have left the herd for any reason.
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</rPr>
          <t xml:space="preserve">Number of Head (Rounded Up)
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</rPr>
          <t xml:space="preserve">Number of Head (Rounded Down)
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Number Rounded Up when the fraction of a cow exceeds .25 Head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>33% of Bulls Culled Annually (Rounded Up)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</rPr>
          <t>Storage, Handling &amp; Feeding Loss. Your values cound be significantly different.</t>
        </r>
      </text>
    </comment>
    <comment ref="B27" authorId="0" shapeId="0">
      <text>
        <r>
          <rPr>
            <b/>
            <sz val="8"/>
            <color indexed="81"/>
            <rFont val="Tahoma"/>
            <family val="2"/>
          </rPr>
          <t>Enter your Vet &amp; Medicine Costs if totals on Page 2, Section 10 do not apply.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</rPr>
          <t>Vet &amp; Medicine totals are from Page 2, Section 10.</t>
        </r>
      </text>
    </comment>
    <comment ref="B33" authorId="0" shapeId="0">
      <text>
        <r>
          <rPr>
            <b/>
            <sz val="8"/>
            <color indexed="81"/>
            <rFont val="Tahoma"/>
            <family val="2"/>
          </rPr>
          <t>Option: You can enter your actual marketing cost per head here.</t>
        </r>
      </text>
    </comment>
    <comment ref="F33" authorId="0" shapeId="0">
      <text>
        <r>
          <rPr>
            <b/>
            <sz val="8"/>
            <color indexed="81"/>
            <rFont val="Tahoma"/>
            <family val="2"/>
          </rPr>
          <t>Marketing Charge is $3.00 per Head plus 2% of Gross Sale Proceeds.</t>
        </r>
      </text>
    </comment>
    <comment ref="B35" authorId="0" shapeId="0">
      <text>
        <r>
          <rPr>
            <b/>
            <sz val="8"/>
            <color indexed="81"/>
            <rFont val="Tahoma"/>
            <family val="2"/>
          </rPr>
          <t>Option: You can enter your actual marketing cost per head here.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</rPr>
          <t>Marketing Charge is $3.50 per Head plus 2% of Gross Sale Proceeds.</t>
        </r>
      </text>
    </comment>
    <comment ref="F40" authorId="0" shapeId="0">
      <text>
        <r>
          <rPr>
            <b/>
            <sz val="8"/>
            <color indexed="81"/>
            <rFont val="Tahoma"/>
            <family val="2"/>
          </rPr>
          <t>Add FICA and other employer paid taxes to hourly wage.</t>
        </r>
      </text>
    </comment>
    <comment ref="H41" authorId="0" shapeId="0">
      <text>
        <r>
          <rPr>
            <b/>
            <sz val="8"/>
            <color indexed="81"/>
            <rFont val="Tahoma"/>
            <family val="2"/>
          </rPr>
          <t>Total Variable Cost - Hauling &amp; Marketing Expense.</t>
        </r>
      </text>
    </comment>
    <comment ref="D68" authorId="0" shapeId="0">
      <text>
        <r>
          <rPr>
            <b/>
            <sz val="8"/>
            <color indexed="81"/>
            <rFont val="Tahoma"/>
            <family val="2"/>
          </rPr>
          <t>Pregancy Checked Cows or 100% of Cow Herd</t>
        </r>
      </text>
    </comment>
    <comment ref="E68" authorId="0" shapeId="0">
      <text>
        <r>
          <rPr>
            <b/>
            <sz val="8"/>
            <color indexed="81"/>
            <rFont val="Tahoma"/>
            <family val="2"/>
          </rPr>
          <t>Rounded Up at .25 Head</t>
        </r>
      </text>
    </comment>
    <comment ref="F68" authorId="0" shapeId="0">
      <text>
        <r>
          <rPr>
            <b/>
            <sz val="8"/>
            <color indexed="81"/>
            <rFont val="Tahoma"/>
            <family val="2"/>
          </rPr>
          <t>Rounded Up at .25 Head.</t>
        </r>
      </text>
    </comment>
    <comment ref="G68" authorId="0" shapeId="0">
      <text>
        <r>
          <rPr>
            <b/>
            <sz val="8"/>
            <color indexed="81"/>
            <rFont val="Tahoma"/>
            <family val="2"/>
          </rPr>
          <t>Rounded Up at .25 Head</t>
        </r>
      </text>
    </comment>
    <comment ref="H68" authorId="0" shapeId="0">
      <text>
        <r>
          <rPr>
            <b/>
            <sz val="8"/>
            <color indexed="81"/>
            <rFont val="Tahoma"/>
            <family val="2"/>
          </rPr>
          <t>Rounded Up at .25 Head.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Enter Weight of feed unit in Column C if purchased by the Bushel or CWT.</t>
        </r>
      </text>
    </comment>
    <comment ref="A71" authorId="0" shapeId="0">
      <text>
        <r>
          <rPr>
            <b/>
            <sz val="8"/>
            <color indexed="81"/>
            <rFont val="Tahoma"/>
            <family val="2"/>
          </rPr>
          <t>Corn Silage Analysis
DM   35%
CP    8.5%
TDN 69%</t>
        </r>
      </text>
    </comment>
    <comment ref="A72" authorId="0" shapeId="0">
      <text>
        <r>
          <rPr>
            <b/>
            <sz val="8"/>
            <color indexed="81"/>
            <rFont val="Tahoma"/>
            <family val="2"/>
          </rPr>
          <t>Alfalfa Hay Analysis
DM  91%
CP   17%
TDN 55%</t>
        </r>
      </text>
    </comment>
    <comment ref="A73" authorId="0" shapeId="0">
      <text>
        <r>
          <rPr>
            <b/>
            <sz val="8"/>
            <color indexed="81"/>
            <rFont val="Tahoma"/>
            <family val="2"/>
          </rPr>
          <t>Mixed Hay Analysis
DM  89%
CP  12.8%
TDN 65%</t>
        </r>
      </text>
    </comment>
    <comment ref="A74" authorId="0" shapeId="0">
      <text>
        <r>
          <rPr>
            <b/>
            <sz val="8"/>
            <color indexed="81"/>
            <rFont val="Tahoma"/>
            <family val="2"/>
          </rPr>
          <t>Grass Hay Analysis
DM   91%
CP 10.5%
TDN  54%</t>
        </r>
      </text>
    </comment>
    <comment ref="D87" authorId="0" shapeId="0">
      <text>
        <r>
          <rPr>
            <b/>
            <sz val="8"/>
            <color indexed="81"/>
            <rFont val="Tahoma"/>
            <family val="2"/>
          </rPr>
          <t>BQA = Beef Quality Assured</t>
        </r>
      </text>
    </comment>
    <comment ref="D88" authorId="0" shapeId="0">
      <text>
        <r>
          <rPr>
            <b/>
            <sz val="8"/>
            <color indexed="81"/>
            <rFont val="Tahoma"/>
            <family val="2"/>
          </rPr>
          <t>Rounded Up at .25 Head.</t>
        </r>
      </text>
    </comment>
    <comment ref="D90" authorId="0" shapeId="0">
      <text>
        <r>
          <rPr>
            <sz val="8"/>
            <color indexed="81"/>
            <rFont val="Tahoma"/>
            <family val="2"/>
          </rPr>
          <t xml:space="preserve">Research at Virginia Tech has shown that de-worming mature cows is not a cost effective practice.
</t>
        </r>
      </text>
    </comment>
    <comment ref="D91" authorId="0" shapeId="0">
      <text>
        <r>
          <rPr>
            <b/>
            <sz val="8"/>
            <color indexed="81"/>
            <rFont val="Tahoma"/>
            <family val="2"/>
          </rPr>
          <t>Dosage: 3 ml. per 100 lbs.
Do not exceed 30 ml per head</t>
        </r>
      </text>
    </comment>
    <comment ref="F94" authorId="0" shapeId="0">
      <text>
        <r>
          <rPr>
            <b/>
            <sz val="8"/>
            <color indexed="81"/>
            <rFont val="Tahoma"/>
            <family val="2"/>
          </rPr>
          <t>GnRH system using Contracted Technicians</t>
        </r>
      </text>
    </comment>
    <comment ref="F95" authorId="0" shapeId="0">
      <text>
        <r>
          <rPr>
            <sz val="8"/>
            <color indexed="81"/>
            <rFont val="Tahoma"/>
            <family val="2"/>
          </rPr>
          <t>Average Cost to Pregnancy Check 100 Cows at 1 time.</t>
        </r>
      </text>
    </comment>
    <comment ref="A97" authorId="0" shapeId="0">
      <text>
        <r>
          <rPr>
            <b/>
            <sz val="8"/>
            <color indexed="81"/>
            <rFont val="Tahoma"/>
            <family val="2"/>
          </rPr>
          <t>Rounded Up at .25 Head.</t>
        </r>
      </text>
    </comment>
    <comment ref="D98" authorId="0" shapeId="0">
      <text>
        <r>
          <rPr>
            <b/>
            <sz val="8"/>
            <color indexed="81"/>
            <rFont val="Tahoma"/>
            <family val="2"/>
          </rPr>
          <t>Follow label requirements.</t>
        </r>
      </text>
    </comment>
    <comment ref="A106" authorId="0" shapeId="0">
      <text>
        <r>
          <rPr>
            <b/>
            <sz val="8"/>
            <color indexed="81"/>
            <rFont val="Tahoma"/>
            <family val="2"/>
          </rPr>
          <t>Given between 4 and 12 months of age.</t>
        </r>
      </text>
    </comment>
    <comment ref="F114" authorId="0" shapeId="0">
      <text>
        <r>
          <rPr>
            <b/>
            <sz val="8"/>
            <color indexed="81"/>
            <rFont val="Tahoma"/>
            <family val="2"/>
          </rPr>
          <t>GnRH system using Contracted Technicians</t>
        </r>
      </text>
    </comment>
    <comment ref="F115" authorId="0" shapeId="0">
      <text>
        <r>
          <rPr>
            <sz val="8"/>
            <color indexed="81"/>
            <rFont val="Tahoma"/>
            <family val="2"/>
          </rPr>
          <t>Average Cost to Pregnancy Check 100 Cows at 1 time.</t>
        </r>
      </text>
    </comment>
  </commentList>
</comments>
</file>

<file path=xl/sharedStrings.xml><?xml version="1.0" encoding="utf-8"?>
<sst xmlns="http://schemas.openxmlformats.org/spreadsheetml/2006/main" count="668" uniqueCount="361">
  <si>
    <t>Other</t>
  </si>
  <si>
    <t>Repairs</t>
  </si>
  <si>
    <t>Insurance</t>
  </si>
  <si>
    <t xml:space="preserve">PUBLICATION 446-048  </t>
  </si>
  <si>
    <t/>
  </si>
  <si>
    <t>Beef Cows Spring Calving - Hay Ration</t>
  </si>
  <si>
    <t>COWS &amp; BRED HEIFERS</t>
  </si>
  <si>
    <t>% CONCEPTION RATE</t>
  </si>
  <si>
    <t>% WEANED CALVES PER COW EXPOSED</t>
  </si>
  <si>
    <t>COWS PER BULL</t>
  </si>
  <si>
    <t>% of Heifers Weaned Kept as Replacements</t>
  </si>
  <si>
    <t>% ANNUAL CULLING RATE</t>
  </si>
  <si>
    <t>% ANNUAL COW DEATH LOSS</t>
  </si>
  <si>
    <t>ITEM</t>
  </si>
  <si>
    <t>HEAD</t>
  </si>
  <si>
    <t>CWT</t>
  </si>
  <si>
    <t>UNIT</t>
  </si>
  <si>
    <t>PRICE</t>
  </si>
  <si>
    <t>QUANTITY</t>
  </si>
  <si>
    <t>TOTAL</t>
  </si>
  <si>
    <t>Your Farm</t>
  </si>
  <si>
    <t>1. GROSS RECEIPTS</t>
  </si>
  <si>
    <t xml:space="preserve"> Steers </t>
  </si>
  <si>
    <t>@</t>
  </si>
  <si>
    <t>Cwt</t>
  </si>
  <si>
    <t xml:space="preserve"> __________</t>
  </si>
  <si>
    <t xml:space="preserve"> Heifers</t>
  </si>
  <si>
    <t xml:space="preserve"> Cull Cows &amp; Heifers</t>
  </si>
  <si>
    <t xml:space="preserve"> Cull Bull </t>
  </si>
  <si>
    <t>2. TOTAL GROSS RECEIPTS</t>
  </si>
  <si>
    <t>Per Cow</t>
  </si>
  <si>
    <t>3. VARIABLE COSTS</t>
  </si>
  <si>
    <t>Feed Loss</t>
  </si>
  <si>
    <t xml:space="preserve"> Grinding &amp; Mixing</t>
  </si>
  <si>
    <t xml:space="preserve"> Salt &amp; Mineral</t>
  </si>
  <si>
    <t>Lbs per Cow</t>
  </si>
  <si>
    <t xml:space="preserve"> Vet &amp; Medicine</t>
  </si>
  <si>
    <t>$/Head</t>
  </si>
  <si>
    <t>Head</t>
  </si>
  <si>
    <t xml:space="preserve"> Supplies</t>
  </si>
  <si>
    <t xml:space="preserve"> Replacement Bull</t>
  </si>
  <si>
    <t xml:space="preserve"> Stockpiled Pasture</t>
  </si>
  <si>
    <t>Acres per Cow</t>
  </si>
  <si>
    <t>Acre</t>
  </si>
  <si>
    <t xml:space="preserve"> Pasture</t>
  </si>
  <si>
    <t xml:space="preserve"> Haul Cull Cattle</t>
  </si>
  <si>
    <t xml:space="preserve"> Market Cull Cattle</t>
  </si>
  <si>
    <t xml:space="preserve"> Haul Calves</t>
  </si>
  <si>
    <t xml:space="preserve"> Market Calves</t>
  </si>
  <si>
    <t xml:space="preserve"> Building &amp; Fence Repairs</t>
  </si>
  <si>
    <t xml:space="preserve"> Utilities</t>
  </si>
  <si>
    <t xml:space="preserve"> Other,(insurance etc.)</t>
  </si>
  <si>
    <t xml:space="preserve"> Machinery (Non-Crop)</t>
  </si>
  <si>
    <t xml:space="preserve"> Labor</t>
  </si>
  <si>
    <t>Hours per Cow</t>
  </si>
  <si>
    <t>Hours</t>
  </si>
  <si>
    <t xml:space="preserve"> Operating Interest</t>
  </si>
  <si>
    <t>Months</t>
  </si>
  <si>
    <t>Dollars</t>
  </si>
  <si>
    <t>4. TOTAL VARIABLE COSTS</t>
  </si>
  <si>
    <t>5. ANNUAL FIXED COSTS (DITIS)</t>
  </si>
  <si>
    <t>6. PROJECTED NET RETURN TO EQUITY, MANAGEMENT, &amp; FAMILY LABOR</t>
  </si>
  <si>
    <t>7. Price Sensitivity Analysis</t>
  </si>
  <si>
    <t>Percent Change in Total Gross Receipts</t>
  </si>
  <si>
    <t>--- Net Cash Return over Total Variable Costs per Cow ---</t>
  </si>
  <si>
    <t>Percent</t>
  </si>
  <si>
    <t>Change in</t>
  </si>
  <si>
    <t>Total Variable</t>
  </si>
  <si>
    <t>Costs</t>
  </si>
  <si>
    <t>Table Sensitivity</t>
  </si>
  <si>
    <t>Developed by Virginia Cooperative Extension Farm Business Management Staff</t>
  </si>
  <si>
    <t>Page 2</t>
  </si>
  <si>
    <t>8. FEED RATIONS (AS-FED BASIS)</t>
  </si>
  <si>
    <t>Yearling</t>
  </si>
  <si>
    <r>
      <t>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Calf</t>
    </r>
  </si>
  <si>
    <t>Additional</t>
  </si>
  <si>
    <t xml:space="preserve"> </t>
  </si>
  <si>
    <t>Cows</t>
  </si>
  <si>
    <t>Bulls</t>
  </si>
  <si>
    <t>Calves</t>
  </si>
  <si>
    <t>Heifers</t>
  </si>
  <si>
    <t>Total</t>
  </si>
  <si>
    <t>Number Head =</t>
  </si>
  <si>
    <t>Quantity</t>
  </si>
  <si>
    <t xml:space="preserve"> Feed</t>
  </si>
  <si>
    <t>Days Fed =</t>
  </si>
  <si>
    <t>(Tons)</t>
  </si>
  <si>
    <t>Unit</t>
  </si>
  <si>
    <t xml:space="preserve"> Corn Silage</t>
  </si>
  <si>
    <t>Lbs/Head/Day</t>
  </si>
  <si>
    <t xml:space="preserve"> Alfalfa Hay, Bloom</t>
  </si>
  <si>
    <t xml:space="preserve"> Mixed Hay, 2nd Cutting</t>
  </si>
  <si>
    <t xml:space="preserve"> Grass Hay, Average</t>
  </si>
  <si>
    <t xml:space="preserve"> Corn Grain</t>
  </si>
  <si>
    <t xml:space="preserve"> SBOM 48%</t>
  </si>
  <si>
    <t xml:space="preserve"> Other Feed</t>
  </si>
  <si>
    <t xml:space="preserve"> 9. ANNUAL DEBT SERVICE</t>
  </si>
  <si>
    <t>Amount</t>
  </si>
  <si>
    <t>Length</t>
  </si>
  <si>
    <t>Annual</t>
  </si>
  <si>
    <t xml:space="preserve">  Item</t>
  </si>
  <si>
    <t>Borrowed</t>
  </si>
  <si>
    <t>Interest</t>
  </si>
  <si>
    <t>of Loan</t>
  </si>
  <si>
    <t>to Beef</t>
  </si>
  <si>
    <t>Payment</t>
  </si>
  <si>
    <t xml:space="preserve"> Item Name</t>
  </si>
  <si>
    <t xml:space="preserve">       TOTAL ANNUAL DEBT PAYMENTS</t>
  </si>
  <si>
    <t xml:space="preserve"> 10. ANIMAL HEALTH PROGRAM</t>
  </si>
  <si>
    <t xml:space="preserve"> (BQA)</t>
  </si>
  <si>
    <t>COWS</t>
  </si>
  <si>
    <t>BULLS</t>
  </si>
  <si>
    <t>Fly Tags</t>
  </si>
  <si>
    <t>Tags  @</t>
  </si>
  <si>
    <t>/Each</t>
  </si>
  <si>
    <t>Pour-on De-wormer</t>
  </si>
  <si>
    <t>Lbs</t>
  </si>
  <si>
    <t>ml./100 lbs</t>
  </si>
  <si>
    <t>/Liter</t>
  </si>
  <si>
    <t>Pour-on De-licer</t>
  </si>
  <si>
    <t>Clostridium Diseases</t>
  </si>
  <si>
    <t>Dose @</t>
  </si>
  <si>
    <t>/Dose</t>
  </si>
  <si>
    <t>IBR PI3 BVD BRSV + Lepto + Vibrio</t>
  </si>
  <si>
    <t>Estrus Syncronization / AI</t>
  </si>
  <si>
    <t>AI Breeding</t>
  </si>
  <si>
    <t>/Head</t>
  </si>
  <si>
    <t>Pregnancy Check</t>
  </si>
  <si>
    <t>Checks @</t>
  </si>
  <si>
    <t>SUB-TOTAL COWS &amp; BULLS</t>
  </si>
  <si>
    <t>CALVES</t>
  </si>
  <si>
    <t>Clostridium Diseases + Pasteurella</t>
  </si>
  <si>
    <t>IBR PI3 BVD BRSV + Lepto</t>
  </si>
  <si>
    <t>Selenium</t>
  </si>
  <si>
    <t>Implant Steers</t>
  </si>
  <si>
    <t>Implants  @</t>
  </si>
  <si>
    <t>/ Implant</t>
  </si>
  <si>
    <t>SUB-TOTAL CALVES</t>
  </si>
  <si>
    <t>REPLACEMENT HEIFERS</t>
  </si>
  <si>
    <t>Bangs Vaccination (RB-51)</t>
  </si>
  <si>
    <t>SUB-TOTAL REPLACEMENT HEIFERS</t>
  </si>
  <si>
    <t>FIRST CALF HEIFERS</t>
  </si>
  <si>
    <t xml:space="preserve">  All other costs included with cows.</t>
  </si>
  <si>
    <t>SUB-TOTAL FIRST CALF HEIFERS</t>
  </si>
  <si>
    <t>Your Farm Veterinarian</t>
  </si>
  <si>
    <t>Trip(s) @</t>
  </si>
  <si>
    <t>Per Trip</t>
  </si>
  <si>
    <t>.</t>
  </si>
  <si>
    <t>( Includes Breeding Soundness Exam on Bulls )</t>
  </si>
  <si>
    <t>TOTAL HEALTH COST FOR HERD =</t>
  </si>
  <si>
    <t>Trade and brand names are used only for the purpose of providing information.  Virginia Cooperative Extension does not guarantee or warrant</t>
  </si>
  <si>
    <t>the standard of any product named to the exclusion of others which also may be suitable.</t>
  </si>
  <si>
    <t>May</t>
  </si>
  <si>
    <t>June</t>
  </si>
  <si>
    <t>August</t>
  </si>
  <si>
    <t>October</t>
  </si>
  <si>
    <t>H</t>
  </si>
  <si>
    <t>I</t>
  </si>
  <si>
    <t>F</t>
  </si>
  <si>
    <t>D</t>
  </si>
  <si>
    <t>G</t>
  </si>
  <si>
    <t>A</t>
  </si>
  <si>
    <t>Revenues</t>
  </si>
  <si>
    <t>Total Revenues</t>
  </si>
  <si>
    <t>Hired Labor</t>
  </si>
  <si>
    <t>months</t>
  </si>
  <si>
    <t>Marketing</t>
  </si>
  <si>
    <t>Total Expenses</t>
  </si>
  <si>
    <t>Non-Farm Income</t>
  </si>
  <si>
    <t>Cash to Accrual Worksheet</t>
  </si>
  <si>
    <t>Farm Cash Receipts (from Schedule F)</t>
  </si>
  <si>
    <t>Sale Price</t>
  </si>
  <si>
    <t>minus</t>
  </si>
  <si>
    <t>Book Value</t>
  </si>
  <si>
    <t>+ Gains/losses on sale of cull breeding livestock</t>
  </si>
  <si>
    <t>+</t>
  </si>
  <si>
    <t>+ Gain/losses on sale of capital assets</t>
  </si>
  <si>
    <t>+ Government Payments Received*</t>
  </si>
  <si>
    <t>+ Insurance Proceeds*</t>
  </si>
  <si>
    <t>+ Other Farm Income*</t>
  </si>
  <si>
    <t>Plus: Changes in Current Assets</t>
  </si>
  <si>
    <t>Ending</t>
  </si>
  <si>
    <t>Beginning</t>
  </si>
  <si>
    <t>+ Change in Value of Inventories Held for Sale</t>
  </si>
  <si>
    <t>+ Change in Value of Homegrown Feeds</t>
  </si>
  <si>
    <t>+ Changes in Accounts Receivable</t>
  </si>
  <si>
    <t>= Gross Revenues (Accrual-Adjusted)   (Line A)</t>
  </si>
  <si>
    <t>Cash-Based Operating Expenses (Total Expenses from Schedule F)</t>
  </si>
  <si>
    <t>- Schedule F Depreciation Expense</t>
  </si>
  <si>
    <t>-</t>
  </si>
  <si>
    <t>= Cash Farm Operating Expenses</t>
  </si>
  <si>
    <t>=</t>
  </si>
  <si>
    <t>+ Management Depreciation Expense**</t>
  </si>
  <si>
    <t>Plus: Changes in Current Liabilities</t>
  </si>
  <si>
    <t xml:space="preserve">+ Changes in Accounts Payable </t>
  </si>
  <si>
    <t>+ Changes in Taxes Payable</t>
  </si>
  <si>
    <t xml:space="preserve">+ Changes in Notes Payable </t>
  </si>
  <si>
    <t xml:space="preserve">+ Changes in Accrued Interest </t>
  </si>
  <si>
    <t>+ Changes in other Accrued Expenses</t>
  </si>
  <si>
    <t>Minus: Changes in Current Assets</t>
  </si>
  <si>
    <t>- Changes in Pre-paid Expenses</t>
  </si>
  <si>
    <t xml:space="preserve">- Changes in Supplies </t>
  </si>
  <si>
    <t>- Changes in Purchased Feed Inventories</t>
  </si>
  <si>
    <t>- Changes in Cash Invested in Growing Crops</t>
  </si>
  <si>
    <t>= Total Farm Expenses (Accrual-Adjusted)    (Line B)</t>
  </si>
  <si>
    <t>Accrual Adjusted Net Farm Income   (Line A - Line B)</t>
  </si>
  <si>
    <t>Cash-Based Net Farm Income (Schedule F)</t>
  </si>
  <si>
    <t>Difference in Net Farm Income due to Accounting Methods (Accrual - Cash)</t>
  </si>
  <si>
    <t>*  If not included on Schedule F</t>
  </si>
  <si>
    <t>** Use your best estimate of the annual depreciation of your assets.  Do not include Section 179 Expenses.</t>
  </si>
  <si>
    <t>Modified from the worksheets developed by Dr. Peter Barry &amp; Dr. Paul Ellinger:  Financial Management in Agriculture, 7th Edition, Prentice Hall, Boston 2021</t>
  </si>
  <si>
    <t>Cash Flow Statement</t>
  </si>
  <si>
    <t>For the Year:</t>
  </si>
  <si>
    <t>Category</t>
  </si>
  <si>
    <t>January</t>
  </si>
  <si>
    <t>February</t>
  </si>
  <si>
    <t>March</t>
  </si>
  <si>
    <t>April</t>
  </si>
  <si>
    <t>July</t>
  </si>
  <si>
    <t>September</t>
  </si>
  <si>
    <t>November</t>
  </si>
  <si>
    <t>December</t>
  </si>
  <si>
    <t>Cash Inflows:</t>
  </si>
  <si>
    <t>Sales Revenues: Enterprise A</t>
  </si>
  <si>
    <t>Sales Revenues: Enterprise B</t>
  </si>
  <si>
    <t>Sales Revenues: Enterprise C</t>
  </si>
  <si>
    <t>Revenue from Custom Work</t>
  </si>
  <si>
    <t>Other Cash Inflows (Transfers, Misc., etc.)</t>
  </si>
  <si>
    <t>Total Cash Inflows</t>
  </si>
  <si>
    <t>Cash Outflows:</t>
  </si>
  <si>
    <t>Rows 16-37 can come directly from your Schedule F tax form</t>
  </si>
  <si>
    <t>Car &amp; Truck Expenses</t>
  </si>
  <si>
    <t>Do Not include your annual Depreciation &amp; Section 179 Expense from your Schedule F.</t>
  </si>
  <si>
    <t>Chemicals</t>
  </si>
  <si>
    <t>Conservation Expenses</t>
  </si>
  <si>
    <t>Custom Hire</t>
  </si>
  <si>
    <t>Employee Benefits</t>
  </si>
  <si>
    <t>Feed Purchased</t>
  </si>
  <si>
    <t>Fertilizer &amp; Lime</t>
  </si>
  <si>
    <t>Freight &amp; Trucking</t>
  </si>
  <si>
    <t>Gasoline, fuel, oil</t>
  </si>
  <si>
    <t>Labor hired</t>
  </si>
  <si>
    <t>Pension &amp; Profit-Sharing</t>
  </si>
  <si>
    <t>Rent or lease - M&amp;E</t>
  </si>
  <si>
    <t xml:space="preserve">Rent/lease - other </t>
  </si>
  <si>
    <t>Seeds &amp; Plants Purchased</t>
  </si>
  <si>
    <t>Storage &amp; Warehousing</t>
  </si>
  <si>
    <t>Supplies Purchased</t>
  </si>
  <si>
    <t>Taxes (property)</t>
  </si>
  <si>
    <t>Utilities</t>
  </si>
  <si>
    <t>Vet, breeding, medicine</t>
  </si>
  <si>
    <t>Cash Transfers (to other accounts)</t>
  </si>
  <si>
    <t>Capital Purchases (Cash)</t>
  </si>
  <si>
    <t>Principal Payments - Term Debt</t>
  </si>
  <si>
    <t>Interest Payments - Term Debt</t>
  </si>
  <si>
    <t>Family Living Expenses</t>
  </si>
  <si>
    <t>Income Taxes (including SE &amp; Payroll taxes)</t>
  </si>
  <si>
    <t>B</t>
  </si>
  <si>
    <t>Total Cash Outflows</t>
  </si>
  <si>
    <t>C</t>
  </si>
  <si>
    <t>Net Cash Flow</t>
  </si>
  <si>
    <t>(Line A - Line B)</t>
  </si>
  <si>
    <t>(A - B)</t>
  </si>
  <si>
    <t>Beginning Cash Balance</t>
  </si>
  <si>
    <t>(D 1)</t>
  </si>
  <si>
    <t>E</t>
  </si>
  <si>
    <t>Unadjusted Cash Balance</t>
  </si>
  <si>
    <t>(Line C + Line D)</t>
  </si>
  <si>
    <t>(C + D)</t>
  </si>
  <si>
    <t>Mininum Balance Desired</t>
  </si>
  <si>
    <t>Cash Avail. to Repay Operating Loan</t>
  </si>
  <si>
    <t>(If E &gt; F, E - F, 0)</t>
  </si>
  <si>
    <t>Operating Loan Needed</t>
  </si>
  <si>
    <t>(If F &gt; E, F - E, 0)</t>
  </si>
  <si>
    <t>(H1+H2+H3+H4)</t>
  </si>
  <si>
    <t>Cumulative Operating Loan Balance</t>
  </si>
  <si>
    <t>(Existing Op Loan - Op Loan Principal Paid in previous month + Line H )</t>
  </si>
  <si>
    <t>(I4 - M4)</t>
  </si>
  <si>
    <t>J</t>
  </si>
  <si>
    <t>Accrued Interest on Operating Loan</t>
  </si>
  <si>
    <t>(I x Int Rate/12 + Acc Int from previous month - Op. Interest Paid in previous month.</t>
  </si>
  <si>
    <t>(J4 - K4)</t>
  </si>
  <si>
    <t>K</t>
  </si>
  <si>
    <t>Interest Paid on Operating Loan</t>
  </si>
  <si>
    <t>(If G &gt; J, J, G)</t>
  </si>
  <si>
    <t>(K1+K2+K3+K4)</t>
  </si>
  <si>
    <t>L</t>
  </si>
  <si>
    <t>Cash Available to Repay Op Loan Principal</t>
  </si>
  <si>
    <t>(G - K)</t>
  </si>
  <si>
    <t>M</t>
  </si>
  <si>
    <t>Operating Loan Principal Repaid</t>
  </si>
  <si>
    <t>(If L &gt; I, I, L)</t>
  </si>
  <si>
    <t>(M1+M2+M3+M4)</t>
  </si>
  <si>
    <t>N</t>
  </si>
  <si>
    <t>Ending Cash Balance</t>
  </si>
  <si>
    <t>(Line E + H - K - M)</t>
  </si>
  <si>
    <t>(E + H - K - M)</t>
  </si>
  <si>
    <t>For educational purposes only.  The numbers in this budget are NOT representative of any specific enterprise.</t>
  </si>
  <si>
    <t>Item</t>
  </si>
  <si>
    <t>Price</t>
  </si>
  <si>
    <t>Agritourism Enterprise Budget</t>
  </si>
  <si>
    <t>Expenses</t>
  </si>
  <si>
    <t>Food COGS</t>
  </si>
  <si>
    <t>Event Insurance</t>
  </si>
  <si>
    <t>Customers</t>
  </si>
  <si>
    <t>Food Sales</t>
  </si>
  <si>
    <t xml:space="preserve">Net Profit </t>
  </si>
  <si>
    <t>Cow Calendar</t>
  </si>
  <si>
    <t>Calving (Freshening) Date</t>
  </si>
  <si>
    <t>Gestation Period (Days)</t>
  </si>
  <si>
    <t>days</t>
  </si>
  <si>
    <t>Expected Lactation Period</t>
  </si>
  <si>
    <t>Voluntary Waiting Period</t>
  </si>
  <si>
    <t>Estrus Cycle</t>
  </si>
  <si>
    <t>Expected Number of Services</t>
  </si>
  <si>
    <t>services</t>
  </si>
  <si>
    <t>Expected Dry Period</t>
  </si>
  <si>
    <t>Earliest Breeding Date</t>
  </si>
  <si>
    <t>Expected Successful Breeding Date</t>
  </si>
  <si>
    <t>Probable Dry-Off Date</t>
  </si>
  <si>
    <t>Heifer Calculations</t>
  </si>
  <si>
    <t>Current</t>
  </si>
  <si>
    <t>Projected</t>
  </si>
  <si>
    <t>Herd Size (All Cows)</t>
  </si>
  <si>
    <t>milking and dry cows</t>
  </si>
  <si>
    <t>Culling Rate</t>
  </si>
  <si>
    <t>of all cows(includes death loss)</t>
  </si>
  <si>
    <t>Age at First Calving</t>
  </si>
  <si>
    <t>Heifer Non-Completion Rate</t>
  </si>
  <si>
    <t>of weaned heifers (sold or died)</t>
  </si>
  <si>
    <t>Calving Interval</t>
  </si>
  <si>
    <t>% Heifer Calves</t>
  </si>
  <si>
    <t>of liveborn calves</t>
  </si>
  <si>
    <t>Calf Mortality Rate</t>
  </si>
  <si>
    <t>of liveborn calves within 48 hours of birth</t>
  </si>
  <si>
    <t>Rough Rule of Thumb</t>
  </si>
  <si>
    <t>90-110% of mature cow numbers (milking and dry)</t>
  </si>
  <si>
    <t>Heifers Needed per Year</t>
  </si>
  <si>
    <t>(All Cows) x Cull Rate x Age at First Calving/24 x (1 + Non-Completion Rate for Heifers)</t>
  </si>
  <si>
    <t>Total Culls</t>
  </si>
  <si>
    <t>Culling % x All Cows</t>
  </si>
  <si>
    <t>higher culling rate = more heifers needed</t>
  </si>
  <si>
    <t>Account for Age at First Calving</t>
  </si>
  <si>
    <t>AFC/24</t>
  </si>
  <si>
    <t>Higher AFC = more heifers needed</t>
  </si>
  <si>
    <t>Accounting for Non-Completion Rate</t>
  </si>
  <si>
    <t>(1 + Heifer Non-Completion Rate)</t>
  </si>
  <si>
    <t>High non-completion rate = more heifers needed</t>
  </si>
  <si>
    <t>Heifers Produced Per Year</t>
  </si>
  <si>
    <t>All Cows x (12/Calving Interval) x % Heifer Calves x (1 - Calf Mortality Rate) x (24/Age at First Calving)</t>
  </si>
  <si>
    <t>Heifer calves born</t>
  </si>
  <si>
    <t>12/Calving Interval</t>
  </si>
  <si>
    <t>Higher % Heifer Calves = more heifers produced</t>
  </si>
  <si>
    <t>Accounting for Calving Interval</t>
  </si>
  <si>
    <t>Higher Calving Interval = less heifers produced per year</t>
  </si>
  <si>
    <t>Accounting for Calf Mortality</t>
  </si>
  <si>
    <t>(1 - Mortality Rate)</t>
  </si>
  <si>
    <t>Higher Mortality Rate = less heifers produced</t>
  </si>
  <si>
    <t>24/AFC</t>
  </si>
  <si>
    <t>Higher AFC = less heifers produced</t>
  </si>
  <si>
    <t>Estimated Calving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</si>
</sst>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3" formatCode="_(* #,##0.00_);_(* \(#,##0.00\);_(* &quot;-&quot;??_);_(@_)"/>
    <numFmt numFmtId="165" formatCode="0.0%"/>
    <numFmt numFmtId="166" formatCode="&quot;$&quot;#,##0.00"/>
    <numFmt numFmtId="167" formatCode="0_)"/>
    <numFmt numFmtId="168" formatCode="0.0_)"/>
    <numFmt numFmtId="169" formatCode="mm/dd/yy_)"/>
    <numFmt numFmtId="170" formatCode="0_);\(0\)"/>
    <numFmt numFmtId="171" formatCode="0.00_)"/>
    <numFmt numFmtId="172" formatCode="0.00_);\(0.00\)"/>
    <numFmt numFmtId="173" formatCode="General_)"/>
    <numFmt numFmtId="174" formatCode="&quot;$&quot;#,##0.00;[Red]&quot;$&quot;#,##0.00"/>
    <numFmt numFmtId="175" formatCode="dd\-mmm\-yy_)"/>
    <numFmt numFmtId="177" formatCode="&quot;$&quot;#,##0"/>
    <numFmt numFmtId="178" formatCode="0.00%\ \A\P\R"/>
    <numFmt numFmtId="179" formatCode="0.0"/>
  </numFmts>
  <fonts count="4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"/>
      <name val="Arial"/>
      <family val="2"/>
    </font>
    <font>
      <b/>
      <sz val="16"/>
      <name val="Arial Narrow"/>
      <family val="2"/>
    </font>
    <font>
      <sz val="12"/>
      <color indexed="13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indexed="9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4"/>
      <color theme="5" tint="-0.249977111117893"/>
      <name val="Arial"/>
      <family val="2"/>
    </font>
    <font>
      <sz val="10"/>
      <color theme="3"/>
      <name val="Arial"/>
      <family val="2"/>
    </font>
    <font>
      <b/>
      <sz val="8"/>
      <name val="Arial"/>
      <family val="2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2" fontId="9" fillId="0" borderId="0"/>
    <xf numFmtId="43" fontId="3" fillId="0" borderId="0" applyFont="0" applyFill="0" applyBorder="0" applyAlignment="0" applyProtection="0"/>
    <xf numFmtId="0" fontId="16" fillId="0" borderId="0"/>
  </cellStyleXfs>
  <cellXfs count="347">
    <xf numFmtId="0" fontId="0" fillId="0" borderId="0" xfId="0"/>
    <xf numFmtId="0" fontId="5" fillId="0" borderId="0" xfId="0" applyFont="1"/>
    <xf numFmtId="0" fontId="0" fillId="0" borderId="0" xfId="0" quotePrefix="1"/>
    <xf numFmtId="6" fontId="0" fillId="0" borderId="0" xfId="0" applyNumberFormat="1"/>
    <xf numFmtId="2" fontId="9" fillId="0" borderId="0" xfId="2" applyNumberFormat="1" applyFont="1" applyFill="1" applyAlignment="1" applyProtection="1">
      <protection locked="0"/>
    </xf>
    <xf numFmtId="166" fontId="9" fillId="0" borderId="0" xfId="2" applyNumberFormat="1" applyFont="1" applyFill="1" applyAlignment="1" applyProtection="1">
      <alignment horizontal="center"/>
      <protection locked="0"/>
    </xf>
    <xf numFmtId="2" fontId="9" fillId="2" borderId="0" xfId="2" applyNumberFormat="1" applyFont="1" applyFill="1" applyAlignment="1" applyProtection="1">
      <protection locked="0"/>
    </xf>
    <xf numFmtId="0" fontId="10" fillId="3" borderId="0" xfId="2" applyNumberFormat="1" applyFont="1" applyFill="1" applyBorder="1" applyAlignment="1">
      <alignment horizontal="center"/>
    </xf>
    <xf numFmtId="2" fontId="11" fillId="3" borderId="0" xfId="2" applyNumberFormat="1" applyFont="1" applyFill="1" applyBorder="1" applyAlignment="1" applyProtection="1">
      <protection locked="0"/>
    </xf>
    <xf numFmtId="166" fontId="11" fillId="3" borderId="0" xfId="2" applyNumberFormat="1" applyFont="1" applyFill="1" applyBorder="1" applyAlignment="1" applyProtection="1">
      <alignment horizontal="center"/>
      <protection locked="0"/>
    </xf>
    <xf numFmtId="2" fontId="12" fillId="3" borderId="0" xfId="2" applyNumberFormat="1" applyFont="1" applyFill="1" applyBorder="1" applyAlignment="1" applyProtection="1">
      <alignment horizontal="right"/>
      <protection locked="0"/>
    </xf>
    <xf numFmtId="2" fontId="9" fillId="0" borderId="0" xfId="2" applyNumberFormat="1" applyFont="1" applyFill="1" applyAlignment="1">
      <alignment horizontal="fill"/>
    </xf>
    <xf numFmtId="0" fontId="10" fillId="0" borderId="0" xfId="2" applyNumberFormat="1" applyFont="1" applyFill="1" applyBorder="1" applyAlignment="1">
      <alignment horizontal="center"/>
    </xf>
    <xf numFmtId="2" fontId="11" fillId="0" borderId="0" xfId="2" applyNumberFormat="1" applyFont="1" applyFill="1" applyBorder="1" applyAlignment="1" applyProtection="1">
      <protection locked="0"/>
    </xf>
    <xf numFmtId="167" fontId="14" fillId="0" borderId="0" xfId="2" applyNumberFormat="1" applyFont="1" applyProtection="1">
      <protection locked="0"/>
    </xf>
    <xf numFmtId="2" fontId="15" fillId="0" borderId="0" xfId="2" applyFont="1" applyAlignment="1" applyProtection="1">
      <alignment horizontal="left"/>
    </xf>
    <xf numFmtId="2" fontId="12" fillId="0" borderId="0" xfId="2" applyNumberFormat="1" applyFont="1" applyFill="1" applyBorder="1" applyAlignment="1" applyProtection="1">
      <alignment horizontal="right"/>
      <protection locked="0"/>
    </xf>
    <xf numFmtId="2" fontId="16" fillId="0" borderId="0" xfId="2" applyFont="1"/>
    <xf numFmtId="1" fontId="17" fillId="0" borderId="0" xfId="2" applyNumberFormat="1" applyFont="1" applyFill="1" applyAlignment="1" applyProtection="1">
      <protection locked="0"/>
    </xf>
    <xf numFmtId="2" fontId="15" fillId="0" borderId="0" xfId="2" applyFont="1"/>
    <xf numFmtId="168" fontId="14" fillId="0" borderId="0" xfId="2" applyNumberFormat="1" applyFont="1" applyProtection="1">
      <protection locked="0"/>
    </xf>
    <xf numFmtId="167" fontId="15" fillId="0" borderId="0" xfId="2" applyNumberFormat="1" applyFont="1" applyProtection="1"/>
    <xf numFmtId="169" fontId="19" fillId="0" borderId="0" xfId="2" applyNumberFormat="1" applyFont="1" applyProtection="1">
      <protection locked="0"/>
    </xf>
    <xf numFmtId="2" fontId="16" fillId="0" borderId="3" xfId="2" applyFont="1" applyBorder="1" applyAlignment="1" applyProtection="1">
      <alignment horizontal="left"/>
    </xf>
    <xf numFmtId="2" fontId="16" fillId="0" borderId="3" xfId="2" applyFont="1" applyBorder="1" applyAlignment="1">
      <alignment horizontal="right"/>
    </xf>
    <xf numFmtId="2" fontId="12" fillId="0" borderId="3" xfId="2" applyFont="1" applyBorder="1"/>
    <xf numFmtId="2" fontId="16" fillId="0" borderId="3" xfId="2" applyFont="1" applyBorder="1" applyAlignment="1" applyProtection="1">
      <alignment horizontal="center"/>
    </xf>
    <xf numFmtId="2" fontId="16" fillId="0" borderId="3" xfId="2" applyFont="1" applyBorder="1" applyAlignment="1" applyProtection="1">
      <alignment horizontal="right"/>
    </xf>
    <xf numFmtId="2" fontId="16" fillId="0" borderId="3" xfId="2" applyFont="1" applyBorder="1"/>
    <xf numFmtId="2" fontId="12" fillId="0" borderId="0" xfId="2" applyFont="1"/>
    <xf numFmtId="2" fontId="16" fillId="0" borderId="0" xfId="2" applyFont="1" applyAlignment="1">
      <alignment horizontal="center"/>
    </xf>
    <xf numFmtId="2" fontId="16" fillId="0" borderId="0" xfId="2" applyFont="1" applyAlignment="1" applyProtection="1">
      <alignment horizontal="left"/>
    </xf>
    <xf numFmtId="170" fontId="16" fillId="0" borderId="0" xfId="2" quotePrefix="1" applyNumberFormat="1" applyFont="1" applyProtection="1"/>
    <xf numFmtId="167" fontId="16" fillId="0" borderId="0" xfId="2" applyNumberFormat="1" applyFont="1" applyAlignment="1" applyProtection="1">
      <alignment horizontal="left"/>
    </xf>
    <xf numFmtId="171" fontId="19" fillId="0" borderId="0" xfId="2" applyNumberFormat="1" applyFont="1" applyProtection="1">
      <protection locked="0"/>
    </xf>
    <xf numFmtId="2" fontId="16" fillId="0" borderId="0" xfId="2" applyFont="1" applyAlignment="1" applyProtection="1">
      <alignment horizontal="center"/>
    </xf>
    <xf numFmtId="7" fontId="19" fillId="0" borderId="0" xfId="2" applyNumberFormat="1" applyFont="1" applyProtection="1">
      <protection locked="0"/>
    </xf>
    <xf numFmtId="171" fontId="16" fillId="0" borderId="0" xfId="2" applyNumberFormat="1" applyFont="1" applyProtection="1"/>
    <xf numFmtId="7" fontId="16" fillId="0" borderId="0" xfId="2" applyNumberFormat="1" applyFont="1" applyProtection="1"/>
    <xf numFmtId="167" fontId="16" fillId="0" borderId="0" xfId="2" applyNumberFormat="1" applyFont="1" applyProtection="1"/>
    <xf numFmtId="2" fontId="9" fillId="0" borderId="0" xfId="2" applyNumberFormat="1" applyFont="1" applyFill="1" applyAlignment="1"/>
    <xf numFmtId="0" fontId="9" fillId="0" borderId="0" xfId="2" applyNumberFormat="1" applyFont="1" applyFill="1" applyAlignment="1"/>
    <xf numFmtId="2" fontId="19" fillId="0" borderId="0" xfId="2" applyFont="1" applyProtection="1">
      <protection locked="0"/>
    </xf>
    <xf numFmtId="7" fontId="15" fillId="0" borderId="0" xfId="2" applyNumberFormat="1" applyFont="1"/>
    <xf numFmtId="7" fontId="15" fillId="0" borderId="0" xfId="2" applyNumberFormat="1" applyFont="1" applyProtection="1"/>
    <xf numFmtId="2" fontId="16" fillId="0" borderId="0" xfId="2" applyFont="1" applyProtection="1"/>
    <xf numFmtId="165" fontId="19" fillId="0" borderId="0" xfId="2" applyNumberFormat="1" applyFont="1" applyAlignment="1" applyProtection="1">
      <alignment horizontal="center"/>
      <protection locked="0"/>
    </xf>
    <xf numFmtId="172" fontId="19" fillId="0" borderId="4" xfId="2" applyNumberFormat="1" applyFont="1" applyBorder="1"/>
    <xf numFmtId="173" fontId="16" fillId="0" borderId="0" xfId="2" applyNumberFormat="1" applyFont="1" applyProtection="1"/>
    <xf numFmtId="172" fontId="19" fillId="0" borderId="5" xfId="2" applyNumberFormat="1" applyFont="1" applyBorder="1"/>
    <xf numFmtId="170" fontId="19" fillId="0" borderId="4" xfId="2" applyNumberFormat="1" applyFont="1" applyBorder="1"/>
    <xf numFmtId="7" fontId="16" fillId="0" borderId="0" xfId="2" quotePrefix="1" applyNumberFormat="1" applyFont="1" applyProtection="1"/>
    <xf numFmtId="7" fontId="19" fillId="0" borderId="0" xfId="2" applyNumberFormat="1" applyFont="1" applyAlignment="1" applyProtection="1">
      <alignment horizontal="right"/>
    </xf>
    <xf numFmtId="173" fontId="16" fillId="0" borderId="0" xfId="2" applyNumberFormat="1" applyFont="1" applyAlignment="1" applyProtection="1">
      <alignment horizontal="right"/>
    </xf>
    <xf numFmtId="170" fontId="19" fillId="0" borderId="4" xfId="2" applyNumberFormat="1" applyFont="1" applyBorder="1" applyAlignment="1" applyProtection="1">
      <alignment horizontal="right"/>
      <protection locked="0"/>
    </xf>
    <xf numFmtId="170" fontId="19" fillId="0" borderId="5" xfId="2" applyNumberFormat="1" applyFont="1" applyBorder="1" applyAlignment="1" applyProtection="1">
      <alignment horizontal="right"/>
    </xf>
    <xf numFmtId="10" fontId="19" fillId="0" borderId="0" xfId="2" applyNumberFormat="1" applyFont="1" applyAlignment="1" applyProtection="1">
      <alignment horizontal="left"/>
      <protection locked="0"/>
    </xf>
    <xf numFmtId="10" fontId="19" fillId="0" borderId="0" xfId="2" applyNumberFormat="1" applyFont="1" applyProtection="1">
      <protection locked="0"/>
    </xf>
    <xf numFmtId="42" fontId="16" fillId="0" borderId="0" xfId="2" applyNumberFormat="1" applyFont="1" applyProtection="1"/>
    <xf numFmtId="7" fontId="16" fillId="0" borderId="0" xfId="2" applyNumberFormat="1" applyFont="1"/>
    <xf numFmtId="0" fontId="9" fillId="0" borderId="0" xfId="2" applyNumberFormat="1" applyFont="1" applyFill="1" applyAlignment="1" applyProtection="1">
      <protection locked="0"/>
    </xf>
    <xf numFmtId="7" fontId="15" fillId="0" borderId="0" xfId="2" applyNumberFormat="1" applyFont="1" applyBorder="1" applyAlignment="1">
      <alignment vertical="center"/>
    </xf>
    <xf numFmtId="2" fontId="15" fillId="0" borderId="0" xfId="2" applyFont="1" applyBorder="1" applyAlignment="1">
      <alignment vertical="center"/>
    </xf>
    <xf numFmtId="7" fontId="15" fillId="0" borderId="0" xfId="2" applyNumberFormat="1" applyFont="1" applyBorder="1" applyAlignment="1" applyProtection="1">
      <alignment vertical="center"/>
    </xf>
    <xf numFmtId="2" fontId="16" fillId="0" borderId="0" xfId="2" applyFont="1" applyBorder="1" applyAlignment="1" applyProtection="1">
      <alignment horizontal="center"/>
    </xf>
    <xf numFmtId="2" fontId="15" fillId="0" borderId="2" xfId="2" applyFont="1" applyBorder="1" applyAlignment="1" applyProtection="1">
      <alignment horizontal="left" vertical="center"/>
    </xf>
    <xf numFmtId="2" fontId="18" fillId="4" borderId="2" xfId="2" applyNumberFormat="1" applyFont="1" applyFill="1" applyBorder="1" applyAlignment="1" applyProtection="1">
      <alignment vertical="center"/>
      <protection locked="0"/>
    </xf>
    <xf numFmtId="7" fontId="15" fillId="0" borderId="2" xfId="2" applyNumberFormat="1" applyFont="1" applyBorder="1" applyAlignment="1">
      <alignment vertical="center"/>
    </xf>
    <xf numFmtId="2" fontId="15" fillId="0" borderId="2" xfId="2" applyFont="1" applyBorder="1" applyAlignment="1">
      <alignment vertical="center"/>
    </xf>
    <xf numFmtId="7" fontId="15" fillId="0" borderId="2" xfId="2" applyNumberFormat="1" applyFont="1" applyBorder="1" applyAlignment="1" applyProtection="1">
      <alignment vertical="center"/>
    </xf>
    <xf numFmtId="2" fontId="16" fillId="0" borderId="2" xfId="2" applyFont="1" applyBorder="1" applyAlignment="1" applyProtection="1">
      <alignment horizontal="center"/>
    </xf>
    <xf numFmtId="1" fontId="9" fillId="0" borderId="0" xfId="2" applyNumberFormat="1" applyFont="1" applyFill="1" applyAlignment="1"/>
    <xf numFmtId="2" fontId="9" fillId="0" borderId="0" xfId="2" applyNumberFormat="1" applyFont="1" applyFill="1" applyBorder="1" applyAlignment="1" applyProtection="1">
      <protection locked="0"/>
    </xf>
    <xf numFmtId="2" fontId="16" fillId="0" borderId="0" xfId="2" applyFont="1" applyBorder="1" applyAlignment="1">
      <alignment horizontal="center" textRotation="90"/>
    </xf>
    <xf numFmtId="9" fontId="16" fillId="0" borderId="1" xfId="2" applyNumberFormat="1" applyFont="1" applyBorder="1" applyAlignment="1">
      <alignment horizontal="center"/>
    </xf>
    <xf numFmtId="9" fontId="16" fillId="0" borderId="0" xfId="2" applyNumberFormat="1" applyFont="1" applyBorder="1" applyAlignment="1">
      <alignment horizontal="center"/>
    </xf>
    <xf numFmtId="8" fontId="16" fillId="0" borderId="0" xfId="2" applyNumberFormat="1" applyFont="1" applyBorder="1" applyAlignment="1">
      <alignment horizontal="center"/>
    </xf>
    <xf numFmtId="2" fontId="16" fillId="0" borderId="0" xfId="2" applyFont="1" applyBorder="1" applyAlignment="1">
      <alignment horizontal="center"/>
    </xf>
    <xf numFmtId="8" fontId="15" fillId="0" borderId="0" xfId="2" applyNumberFormat="1" applyFont="1" applyBorder="1" applyAlignment="1">
      <alignment horizontal="center"/>
    </xf>
    <xf numFmtId="2" fontId="9" fillId="0" borderId="1" xfId="2" applyNumberFormat="1" applyFont="1" applyFill="1" applyBorder="1" applyAlignment="1" applyProtection="1">
      <protection locked="0"/>
    </xf>
    <xf numFmtId="9" fontId="19" fillId="0" borderId="0" xfId="2" applyNumberFormat="1" applyFont="1" applyBorder="1" applyAlignment="1" applyProtection="1">
      <alignment horizontal="center"/>
    </xf>
    <xf numFmtId="174" fontId="16" fillId="0" borderId="0" xfId="2" applyNumberFormat="1" applyFont="1" applyBorder="1" applyAlignment="1">
      <alignment horizontal="left"/>
    </xf>
    <xf numFmtId="174" fontId="16" fillId="0" borderId="0" xfId="2" applyNumberFormat="1" applyFont="1" applyBorder="1" applyAlignment="1">
      <alignment horizontal="center"/>
    </xf>
    <xf numFmtId="2" fontId="9" fillId="0" borderId="2" xfId="2" applyNumberFormat="1" applyFont="1" applyFill="1" applyBorder="1" applyAlignment="1" applyProtection="1">
      <protection locked="0"/>
    </xf>
    <xf numFmtId="9" fontId="16" fillId="0" borderId="2" xfId="2" applyNumberFormat="1" applyFont="1" applyBorder="1" applyAlignment="1">
      <alignment horizontal="center"/>
    </xf>
    <xf numFmtId="171" fontId="16" fillId="0" borderId="2" xfId="2" applyNumberFormat="1" applyFont="1" applyBorder="1" applyProtection="1"/>
    <xf numFmtId="174" fontId="16" fillId="0" borderId="2" xfId="2" applyNumberFormat="1" applyFont="1" applyBorder="1" applyAlignment="1">
      <alignment horizontal="center"/>
    </xf>
    <xf numFmtId="2" fontId="22" fillId="0" borderId="3" xfId="2" applyFont="1" applyBorder="1"/>
    <xf numFmtId="2" fontId="22" fillId="0" borderId="3" xfId="2" applyFont="1" applyBorder="1" applyAlignment="1" applyProtection="1">
      <alignment horizontal="right" vertical="center"/>
    </xf>
    <xf numFmtId="2" fontId="22" fillId="0" borderId="0" xfId="2" applyFont="1" applyAlignment="1" applyProtection="1">
      <alignment horizontal="left"/>
    </xf>
    <xf numFmtId="2" fontId="16" fillId="0" borderId="0" xfId="2" applyFont="1" applyAlignment="1">
      <alignment horizontal="right"/>
    </xf>
    <xf numFmtId="2" fontId="16" fillId="0" borderId="0" xfId="2" applyFont="1" applyAlignment="1" applyProtection="1">
      <alignment horizontal="right"/>
    </xf>
    <xf numFmtId="2" fontId="19" fillId="0" borderId="0" xfId="2" applyFont="1" applyAlignment="1" applyProtection="1">
      <alignment horizontal="right"/>
      <protection locked="0"/>
    </xf>
    <xf numFmtId="175" fontId="16" fillId="0" borderId="0" xfId="2" applyNumberFormat="1" applyFont="1" applyAlignment="1" applyProtection="1">
      <alignment horizontal="left"/>
    </xf>
    <xf numFmtId="2" fontId="24" fillId="0" borderId="0" xfId="2" applyNumberFormat="1" applyFont="1" applyFill="1" applyAlignment="1" applyProtection="1">
      <alignment horizontal="right"/>
      <protection locked="0"/>
    </xf>
    <xf numFmtId="167" fontId="16" fillId="0" borderId="0" xfId="2" quotePrefix="1" applyNumberFormat="1" applyFont="1" applyProtection="1"/>
    <xf numFmtId="167" fontId="19" fillId="0" borderId="0" xfId="2" applyNumberFormat="1" applyFont="1" applyProtection="1">
      <protection locked="0"/>
    </xf>
    <xf numFmtId="2" fontId="16" fillId="0" borderId="1" xfId="2" applyFont="1" applyBorder="1" applyProtection="1">
      <protection locked="0"/>
    </xf>
    <xf numFmtId="167" fontId="19" fillId="0" borderId="1" xfId="2" applyNumberFormat="1" applyFont="1" applyBorder="1" applyProtection="1">
      <protection locked="0"/>
    </xf>
    <xf numFmtId="2" fontId="24" fillId="0" borderId="1" xfId="2" applyNumberFormat="1" applyFont="1" applyFill="1" applyBorder="1" applyAlignment="1" applyProtection="1">
      <alignment horizontal="right"/>
      <protection locked="0"/>
    </xf>
    <xf numFmtId="2" fontId="19" fillId="0" borderId="0" xfId="2" applyFont="1" applyBorder="1" applyProtection="1">
      <protection locked="0"/>
    </xf>
    <xf numFmtId="2" fontId="16" fillId="0" borderId="0" xfId="2" applyFont="1" applyBorder="1" applyAlignment="1" applyProtection="1">
      <alignment horizontal="left"/>
    </xf>
    <xf numFmtId="2" fontId="25" fillId="0" borderId="0" xfId="2" applyFont="1" applyAlignment="1">
      <alignment horizontal="right"/>
    </xf>
    <xf numFmtId="167" fontId="19" fillId="0" borderId="0" xfId="2" applyNumberFormat="1" applyFont="1" applyBorder="1" applyProtection="1">
      <protection locked="0"/>
    </xf>
    <xf numFmtId="2" fontId="9" fillId="2" borderId="0" xfId="2" applyNumberFormat="1" applyFont="1" applyFill="1" applyAlignment="1" applyProtection="1"/>
    <xf numFmtId="2" fontId="19" fillId="0" borderId="0" xfId="2" applyFont="1" applyAlignment="1" applyProtection="1">
      <alignment horizontal="left"/>
      <protection locked="0"/>
    </xf>
    <xf numFmtId="2" fontId="26" fillId="0" borderId="0" xfId="2" applyFont="1" applyAlignment="1" applyProtection="1">
      <alignment horizontal="left"/>
    </xf>
    <xf numFmtId="1" fontId="27" fillId="0" borderId="0" xfId="2" applyNumberFormat="1" applyFont="1" applyAlignment="1">
      <alignment horizontal="center"/>
    </xf>
    <xf numFmtId="2" fontId="19" fillId="0" borderId="0" xfId="2" applyFont="1" applyAlignment="1" applyProtection="1">
      <alignment horizontal="left"/>
    </xf>
    <xf numFmtId="2" fontId="16" fillId="0" borderId="2" xfId="2" applyFont="1" applyBorder="1" applyAlignment="1" applyProtection="1">
      <alignment horizontal="fill"/>
    </xf>
    <xf numFmtId="171" fontId="16" fillId="0" borderId="0" xfId="2" applyNumberFormat="1" applyFont="1" applyAlignment="1" applyProtection="1">
      <alignment horizontal="right"/>
    </xf>
    <xf numFmtId="2" fontId="16" fillId="0" borderId="1" xfId="2" applyFont="1" applyBorder="1" applyAlignment="1" applyProtection="1">
      <alignment horizontal="left"/>
    </xf>
    <xf numFmtId="2" fontId="16" fillId="0" borderId="1" xfId="2" applyFont="1" applyBorder="1"/>
    <xf numFmtId="2" fontId="16" fillId="0" borderId="1" xfId="2" applyFont="1" applyBorder="1" applyAlignment="1">
      <alignment horizontal="right"/>
    </xf>
    <xf numFmtId="2" fontId="16" fillId="0" borderId="1" xfId="2" applyFont="1" applyBorder="1" applyAlignment="1" applyProtection="1">
      <alignment horizontal="right"/>
    </xf>
    <xf numFmtId="2" fontId="16" fillId="0" borderId="1" xfId="2" applyFont="1" applyBorder="1" applyAlignment="1" applyProtection="1">
      <alignment horizontal="center"/>
    </xf>
    <xf numFmtId="2" fontId="16" fillId="0" borderId="0" xfId="2" applyFont="1" applyAlignment="1" applyProtection="1">
      <alignment horizontal="fill"/>
    </xf>
    <xf numFmtId="37" fontId="19" fillId="0" borderId="0" xfId="2" applyNumberFormat="1" applyFont="1" applyProtection="1">
      <protection locked="0"/>
    </xf>
    <xf numFmtId="10" fontId="19" fillId="0" borderId="0" xfId="2" applyNumberFormat="1" applyFont="1" applyAlignment="1" applyProtection="1">
      <alignment horizontal="center"/>
      <protection locked="0"/>
    </xf>
    <xf numFmtId="167" fontId="19" fillId="0" borderId="0" xfId="2" applyNumberFormat="1" applyFont="1" applyAlignment="1" applyProtection="1">
      <alignment horizontal="center"/>
      <protection locked="0"/>
    </xf>
    <xf numFmtId="9" fontId="19" fillId="0" borderId="0" xfId="2" applyNumberFormat="1" applyFont="1" applyAlignment="1" applyProtection="1">
      <alignment horizontal="center"/>
      <protection locked="0"/>
    </xf>
    <xf numFmtId="4" fontId="9" fillId="2" borderId="0" xfId="2" applyNumberFormat="1" applyFont="1" applyFill="1" applyAlignment="1" applyProtection="1">
      <protection locked="0"/>
    </xf>
    <xf numFmtId="2" fontId="16" fillId="0" borderId="1" xfId="2" applyFont="1" applyBorder="1" applyAlignment="1" applyProtection="1">
      <alignment horizontal="fill"/>
    </xf>
    <xf numFmtId="7" fontId="19" fillId="0" borderId="1" xfId="2" applyNumberFormat="1" applyFont="1" applyBorder="1" applyAlignment="1" applyProtection="1">
      <protection locked="0"/>
    </xf>
    <xf numFmtId="2" fontId="16" fillId="0" borderId="2" xfId="2" applyFont="1" applyBorder="1"/>
    <xf numFmtId="2" fontId="12" fillId="0" borderId="2" xfId="2" applyFont="1" applyBorder="1"/>
    <xf numFmtId="167" fontId="16" fillId="0" borderId="2" xfId="2" applyNumberFormat="1" applyFont="1" applyBorder="1" applyProtection="1"/>
    <xf numFmtId="5" fontId="15" fillId="0" borderId="2" xfId="2" applyNumberFormat="1" applyFont="1" applyBorder="1" applyAlignment="1" applyProtection="1">
      <alignment horizontal="left"/>
    </xf>
    <xf numFmtId="2" fontId="15" fillId="0" borderId="2" xfId="2" applyFont="1" applyBorder="1"/>
    <xf numFmtId="167" fontId="15" fillId="0" borderId="2" xfId="2" applyNumberFormat="1" applyFont="1" applyBorder="1" applyProtection="1"/>
    <xf numFmtId="7" fontId="15" fillId="0" borderId="2" xfId="2" applyNumberFormat="1" applyFont="1" applyBorder="1" applyProtection="1"/>
    <xf numFmtId="2" fontId="18" fillId="4" borderId="0" xfId="2" applyNumberFormat="1" applyFont="1" applyFill="1" applyAlignment="1" applyProtection="1">
      <protection locked="0"/>
    </xf>
    <xf numFmtId="2" fontId="12" fillId="0" borderId="0" xfId="2" applyFont="1" applyAlignment="1" applyProtection="1">
      <alignment horizontal="center"/>
    </xf>
    <xf numFmtId="2" fontId="9" fillId="2" borderId="0" xfId="2" applyFill="1"/>
    <xf numFmtId="39" fontId="19" fillId="0" borderId="0" xfId="2" applyNumberFormat="1" applyFont="1" applyProtection="1">
      <protection locked="0"/>
    </xf>
    <xf numFmtId="0" fontId="19" fillId="0" borderId="0" xfId="2" applyNumberFormat="1" applyFont="1" applyProtection="1">
      <protection locked="0"/>
    </xf>
    <xf numFmtId="2" fontId="9" fillId="0" borderId="0" xfId="2" applyFont="1" applyFill="1" applyAlignment="1">
      <alignment horizontal="center"/>
    </xf>
    <xf numFmtId="2" fontId="9" fillId="0" borderId="0" xfId="2" applyFill="1"/>
    <xf numFmtId="39" fontId="16" fillId="0" borderId="1" xfId="2" applyNumberFormat="1" applyFont="1" applyBorder="1"/>
    <xf numFmtId="39" fontId="16" fillId="0" borderId="0" xfId="2" applyNumberFormat="1" applyFont="1"/>
    <xf numFmtId="166" fontId="9" fillId="0" borderId="0" xfId="2" quotePrefix="1" applyNumberFormat="1" applyFont="1" applyFill="1" applyBorder="1" applyAlignment="1" applyProtection="1">
      <alignment horizontal="center"/>
      <protection locked="0"/>
    </xf>
    <xf numFmtId="166" fontId="9" fillId="0" borderId="0" xfId="2" quotePrefix="1" applyNumberFormat="1" applyFont="1" applyFill="1" applyBorder="1" applyAlignment="1" applyProtection="1">
      <alignment horizontal="right"/>
      <protection locked="0"/>
    </xf>
    <xf numFmtId="1" fontId="9" fillId="2" borderId="0" xfId="2" applyNumberFormat="1" applyFont="1" applyFill="1" applyAlignment="1" applyProtection="1">
      <protection locked="0"/>
    </xf>
    <xf numFmtId="39" fontId="16" fillId="0" borderId="0" xfId="2" applyNumberFormat="1" applyFont="1" applyAlignment="1" applyProtection="1">
      <alignment horizontal="left"/>
    </xf>
    <xf numFmtId="5" fontId="19" fillId="0" borderId="0" xfId="2" applyNumberFormat="1" applyFont="1" applyProtection="1">
      <protection locked="0"/>
    </xf>
    <xf numFmtId="2" fontId="16" fillId="0" borderId="0" xfId="2" applyFont="1" applyAlignment="1">
      <alignment horizontal="fill"/>
    </xf>
    <xf numFmtId="7" fontId="16" fillId="0" borderId="0" xfId="2" applyNumberFormat="1" applyFont="1" applyAlignment="1">
      <alignment horizontal="fill"/>
    </xf>
    <xf numFmtId="2" fontId="15" fillId="0" borderId="0" xfId="2" applyFont="1" applyAlignment="1" applyProtection="1">
      <alignment horizontal="left" vertical="center"/>
    </xf>
    <xf numFmtId="7" fontId="15" fillId="0" borderId="8" xfId="2" applyNumberFormat="1" applyFont="1" applyBorder="1" applyAlignment="1" applyProtection="1">
      <alignment vertical="center"/>
    </xf>
    <xf numFmtId="2" fontId="28" fillId="0" borderId="9" xfId="2" applyFont="1" applyFill="1" applyBorder="1" applyProtection="1"/>
    <xf numFmtId="2" fontId="9" fillId="0" borderId="9" xfId="2" applyNumberFormat="1" applyFont="1" applyFill="1" applyBorder="1" applyAlignment="1" applyProtection="1"/>
    <xf numFmtId="2" fontId="9" fillId="0" borderId="9" xfId="2" applyNumberFormat="1" applyFont="1" applyFill="1" applyBorder="1" applyAlignment="1" applyProtection="1">
      <protection locked="0"/>
    </xf>
    <xf numFmtId="166" fontId="9" fillId="0" borderId="9" xfId="2" applyNumberFormat="1" applyFont="1" applyFill="1" applyBorder="1" applyAlignment="1" applyProtection="1">
      <alignment horizontal="center"/>
      <protection locked="0"/>
    </xf>
    <xf numFmtId="2" fontId="9" fillId="0" borderId="9" xfId="2" applyFill="1" applyBorder="1"/>
    <xf numFmtId="2" fontId="9" fillId="0" borderId="10" xfId="2" applyFill="1" applyBorder="1"/>
    <xf numFmtId="2" fontId="29" fillId="0" borderId="0" xfId="2" applyFont="1" applyFill="1" applyAlignment="1">
      <alignment horizontal="center"/>
    </xf>
    <xf numFmtId="2" fontId="17" fillId="0" borderId="0" xfId="2" applyNumberFormat="1" applyFont="1" applyFill="1" applyAlignment="1" applyProtection="1">
      <protection locked="0"/>
    </xf>
    <xf numFmtId="166" fontId="9" fillId="0" borderId="0" xfId="2" applyNumberFormat="1" applyFont="1" applyFill="1" applyAlignment="1">
      <alignment horizontal="center"/>
    </xf>
    <xf numFmtId="0" fontId="1" fillId="0" borderId="0" xfId="0" applyFont="1"/>
    <xf numFmtId="0" fontId="2" fillId="0" borderId="0" xfId="0" applyFont="1"/>
    <xf numFmtId="0" fontId="35" fillId="0" borderId="0" xfId="0" applyFont="1"/>
    <xf numFmtId="0" fontId="6" fillId="7" borderId="0" xfId="0" applyFont="1" applyFill="1"/>
    <xf numFmtId="0" fontId="35" fillId="7" borderId="0" xfId="0" applyFont="1" applyFill="1"/>
    <xf numFmtId="0" fontId="6" fillId="0" borderId="0" xfId="0" applyFont="1"/>
    <xf numFmtId="6" fontId="36" fillId="5" borderId="1" xfId="0" applyNumberFormat="1" applyFont="1" applyFill="1" applyBorder="1" applyProtection="1">
      <protection locked="0"/>
    </xf>
    <xf numFmtId="0" fontId="6" fillId="0" borderId="0" xfId="0" applyFont="1" applyAlignment="1">
      <alignment horizontal="center"/>
    </xf>
    <xf numFmtId="6" fontId="6" fillId="0" borderId="0" xfId="0" applyNumberFormat="1" applyFont="1" applyFill="1"/>
    <xf numFmtId="0" fontId="6" fillId="8" borderId="0" xfId="0" applyFont="1" applyFill="1"/>
    <xf numFmtId="0" fontId="35" fillId="8" borderId="0" xfId="0" quotePrefix="1" applyFont="1" applyFill="1"/>
    <xf numFmtId="6" fontId="36" fillId="8" borderId="1" xfId="0" applyNumberFormat="1" applyFont="1" applyFill="1" applyBorder="1"/>
    <xf numFmtId="6" fontId="35" fillId="8" borderId="0" xfId="0" applyNumberFormat="1" applyFont="1" applyFill="1"/>
    <xf numFmtId="6" fontId="35" fillId="8" borderId="0" xfId="0" quotePrefix="1" applyNumberFormat="1" applyFont="1" applyFill="1" applyAlignment="1">
      <alignment horizontal="right"/>
    </xf>
    <xf numFmtId="6" fontId="6" fillId="8" borderId="1" xfId="0" applyNumberFormat="1" applyFont="1" applyFill="1" applyBorder="1"/>
    <xf numFmtId="6" fontId="36" fillId="8" borderId="3" xfId="0" applyNumberFormat="1" applyFont="1" applyFill="1" applyBorder="1"/>
    <xf numFmtId="0" fontId="35" fillId="8" borderId="0" xfId="0" applyFont="1" applyFill="1" applyBorder="1"/>
    <xf numFmtId="0" fontId="35" fillId="8" borderId="0" xfId="0" applyFont="1" applyFill="1"/>
    <xf numFmtId="0" fontId="35" fillId="0" borderId="0" xfId="0" quotePrefix="1" applyFont="1"/>
    <xf numFmtId="6" fontId="36" fillId="0" borderId="0" xfId="0" applyNumberFormat="1" applyFont="1" applyFill="1" applyBorder="1"/>
    <xf numFmtId="6" fontId="35" fillId="0" borderId="0" xfId="0" applyNumberFormat="1" applyFont="1"/>
    <xf numFmtId="6" fontId="35" fillId="0" borderId="0" xfId="0" quotePrefix="1" applyNumberFormat="1" applyFont="1" applyAlignment="1">
      <alignment horizontal="right"/>
    </xf>
    <xf numFmtId="6" fontId="6" fillId="0" borderId="1" xfId="0" applyNumberFormat="1" applyFont="1" applyFill="1" applyBorder="1"/>
    <xf numFmtId="6" fontId="36" fillId="5" borderId="3" xfId="0" applyNumberFormat="1" applyFont="1" applyFill="1" applyBorder="1" applyProtection="1">
      <protection locked="0"/>
    </xf>
    <xf numFmtId="0" fontId="36" fillId="0" borderId="0" xfId="0" applyFont="1" applyBorder="1"/>
    <xf numFmtId="6" fontId="6" fillId="0" borderId="0" xfId="0" applyNumberFormat="1" applyFont="1"/>
    <xf numFmtId="0" fontId="6" fillId="0" borderId="0" xfId="0" quotePrefix="1" applyFont="1"/>
    <xf numFmtId="6" fontId="6" fillId="0" borderId="9" xfId="0" applyNumberFormat="1" applyFont="1" applyBorder="1"/>
    <xf numFmtId="6" fontId="6" fillId="0" borderId="0" xfId="0" applyNumberFormat="1" applyFont="1" applyBorder="1"/>
    <xf numFmtId="6" fontId="6" fillId="7" borderId="0" xfId="0" applyNumberFormat="1" applyFont="1" applyFill="1"/>
    <xf numFmtId="0" fontId="35" fillId="0" borderId="0" xfId="0" quotePrefix="1" applyFont="1" applyAlignment="1">
      <alignment horizontal="right"/>
    </xf>
    <xf numFmtId="6" fontId="37" fillId="0" borderId="1" xfId="0" applyNumberFormat="1" applyFont="1" applyFill="1" applyBorder="1"/>
    <xf numFmtId="6" fontId="36" fillId="0" borderId="0" xfId="0" applyNumberFormat="1" applyFont="1" applyBorder="1"/>
    <xf numFmtId="6" fontId="6" fillId="0" borderId="0" xfId="0" applyNumberFormat="1" applyFont="1" applyFill="1" applyBorder="1"/>
    <xf numFmtId="6" fontId="35" fillId="0" borderId="0" xfId="0" applyNumberFormat="1" applyFont="1" applyAlignment="1">
      <alignment horizontal="right"/>
    </xf>
    <xf numFmtId="0" fontId="6" fillId="0" borderId="9" xfId="0" applyFont="1" applyBorder="1"/>
    <xf numFmtId="0" fontId="35" fillId="0" borderId="9" xfId="0" quotePrefix="1" applyFont="1" applyBorder="1"/>
    <xf numFmtId="6" fontId="36" fillId="5" borderId="9" xfId="0" applyNumberFormat="1" applyFont="1" applyFill="1" applyBorder="1" applyProtection="1">
      <protection locked="0"/>
    </xf>
    <xf numFmtId="6" fontId="35" fillId="0" borderId="9" xfId="0" applyNumberFormat="1" applyFont="1" applyBorder="1"/>
    <xf numFmtId="6" fontId="35" fillId="0" borderId="9" xfId="0" applyNumberFormat="1" applyFont="1" applyBorder="1" applyAlignment="1">
      <alignment horizontal="right"/>
    </xf>
    <xf numFmtId="6" fontId="6" fillId="0" borderId="21" xfId="0" applyNumberFormat="1" applyFont="1" applyBorder="1"/>
    <xf numFmtId="6" fontId="6" fillId="0" borderId="2" xfId="0" applyNumberFormat="1" applyFont="1" applyBorder="1"/>
    <xf numFmtId="6" fontId="6" fillId="0" borderId="1" xfId="0" applyNumberFormat="1" applyFont="1" applyBorder="1"/>
    <xf numFmtId="0" fontId="16" fillId="0" borderId="0" xfId="4" applyProtection="1"/>
    <xf numFmtId="0" fontId="16" fillId="0" borderId="16" xfId="4" applyBorder="1" applyProtection="1"/>
    <xf numFmtId="0" fontId="39" fillId="0" borderId="0" xfId="4" applyFont="1" applyBorder="1" applyAlignment="1" applyProtection="1">
      <alignment vertical="center"/>
    </xf>
    <xf numFmtId="0" fontId="39" fillId="0" borderId="16" xfId="4" applyFont="1" applyBorder="1" applyAlignment="1" applyProtection="1">
      <alignment vertical="center"/>
    </xf>
    <xf numFmtId="0" fontId="32" fillId="0" borderId="3" xfId="4" applyFont="1" applyBorder="1" applyAlignment="1" applyProtection="1">
      <alignment horizontal="center" vertical="center"/>
      <protection locked="0"/>
    </xf>
    <xf numFmtId="0" fontId="39" fillId="0" borderId="17" xfId="4" applyFont="1" applyBorder="1" applyAlignment="1" applyProtection="1">
      <alignment vertical="center"/>
    </xf>
    <xf numFmtId="0" fontId="40" fillId="9" borderId="1" xfId="4" applyFont="1" applyFill="1" applyBorder="1" applyProtection="1"/>
    <xf numFmtId="0" fontId="40" fillId="9" borderId="1" xfId="4" applyFont="1" applyFill="1" applyBorder="1" applyAlignment="1" applyProtection="1">
      <alignment horizontal="center"/>
    </xf>
    <xf numFmtId="0" fontId="40" fillId="9" borderId="19" xfId="4" applyFont="1" applyFill="1" applyBorder="1" applyAlignment="1" applyProtection="1">
      <alignment horizontal="center"/>
    </xf>
    <xf numFmtId="0" fontId="15" fillId="0" borderId="16" xfId="4" applyFont="1" applyBorder="1" applyAlignment="1" applyProtection="1">
      <alignment horizontal="center"/>
    </xf>
    <xf numFmtId="0" fontId="15" fillId="0" borderId="0" xfId="4" applyFont="1" applyBorder="1" applyAlignment="1" applyProtection="1">
      <alignment horizontal="center"/>
    </xf>
    <xf numFmtId="0" fontId="15" fillId="0" borderId="25" xfId="4" applyFont="1" applyBorder="1" applyProtection="1"/>
    <xf numFmtId="177" fontId="15" fillId="0" borderId="0" xfId="4" applyNumberFormat="1" applyFont="1" applyBorder="1" applyAlignment="1" applyProtection="1">
      <alignment horizontal="center"/>
    </xf>
    <xf numFmtId="177" fontId="15" fillId="0" borderId="17" xfId="4" applyNumberFormat="1" applyFont="1" applyBorder="1" applyAlignment="1" applyProtection="1">
      <alignment horizontal="center"/>
    </xf>
    <xf numFmtId="0" fontId="41" fillId="9" borderId="16" xfId="4" applyFont="1" applyFill="1" applyBorder="1" applyProtection="1"/>
    <xf numFmtId="0" fontId="40" fillId="9" borderId="0" xfId="4" applyFont="1" applyFill="1" applyBorder="1" applyProtection="1"/>
    <xf numFmtId="0" fontId="41" fillId="9" borderId="17" xfId="4" applyFont="1" applyFill="1" applyBorder="1" applyProtection="1"/>
    <xf numFmtId="177" fontId="15" fillId="9" borderId="0" xfId="4" applyNumberFormat="1" applyFont="1" applyFill="1" applyBorder="1" applyProtection="1"/>
    <xf numFmtId="177" fontId="15" fillId="9" borderId="17" xfId="4" applyNumberFormat="1" applyFont="1" applyFill="1" applyBorder="1" applyProtection="1"/>
    <xf numFmtId="0" fontId="12" fillId="0" borderId="0" xfId="4" applyFont="1" applyProtection="1"/>
    <xf numFmtId="0" fontId="33" fillId="0" borderId="1" xfId="4" applyFont="1" applyBorder="1" applyProtection="1">
      <protection locked="0"/>
    </xf>
    <xf numFmtId="9" fontId="33" fillId="0" borderId="17" xfId="4" applyNumberFormat="1" applyFont="1" applyBorder="1" applyProtection="1"/>
    <xf numFmtId="6" fontId="33" fillId="0" borderId="1" xfId="4" applyNumberFormat="1" applyFont="1" applyBorder="1" applyProtection="1">
      <protection locked="0"/>
    </xf>
    <xf numFmtId="6" fontId="33" fillId="0" borderId="0" xfId="4" applyNumberFormat="1" applyFont="1" applyBorder="1" applyProtection="1"/>
    <xf numFmtId="6" fontId="22" fillId="0" borderId="19" xfId="4" applyNumberFormat="1" applyFont="1" applyBorder="1" applyProtection="1"/>
    <xf numFmtId="9" fontId="12" fillId="0" borderId="0" xfId="4" applyNumberFormat="1" applyFont="1" applyProtection="1"/>
    <xf numFmtId="9" fontId="22" fillId="0" borderId="17" xfId="4" applyNumberFormat="1" applyFont="1" applyBorder="1" applyProtection="1"/>
    <xf numFmtId="6" fontId="33" fillId="0" borderId="3" xfId="4" applyNumberFormat="1" applyFont="1" applyBorder="1" applyProtection="1">
      <protection locked="0"/>
    </xf>
    <xf numFmtId="6" fontId="22" fillId="0" borderId="26" xfId="4" applyNumberFormat="1" applyFont="1" applyBorder="1" applyProtection="1"/>
    <xf numFmtId="0" fontId="33" fillId="0" borderId="3" xfId="4" applyFont="1" applyBorder="1" applyProtection="1">
      <protection locked="0"/>
    </xf>
    <xf numFmtId="0" fontId="15" fillId="0" borderId="14" xfId="4" applyFont="1" applyBorder="1" applyAlignment="1" applyProtection="1">
      <alignment horizontal="center"/>
    </xf>
    <xf numFmtId="0" fontId="33" fillId="0" borderId="9" xfId="4" applyFont="1" applyBorder="1" applyProtection="1"/>
    <xf numFmtId="0" fontId="22" fillId="0" borderId="15" xfId="4" applyFont="1" applyBorder="1" applyProtection="1"/>
    <xf numFmtId="6" fontId="33" fillId="0" borderId="9" xfId="4" applyNumberFormat="1" applyFont="1" applyBorder="1" applyProtection="1"/>
    <xf numFmtId="6" fontId="22" fillId="0" borderId="15" xfId="4" applyNumberFormat="1" applyFont="1" applyBorder="1" applyProtection="1"/>
    <xf numFmtId="0" fontId="22" fillId="0" borderId="0" xfId="4" applyFont="1" applyBorder="1" applyProtection="1"/>
    <xf numFmtId="0" fontId="22" fillId="0" borderId="17" xfId="4" applyFont="1" applyBorder="1" applyProtection="1"/>
    <xf numFmtId="6" fontId="22" fillId="0" borderId="1" xfId="4" applyNumberFormat="1" applyFont="1" applyBorder="1" applyProtection="1"/>
    <xf numFmtId="6" fontId="22" fillId="0" borderId="0" xfId="4" applyNumberFormat="1" applyFont="1" applyBorder="1" applyProtection="1"/>
    <xf numFmtId="0" fontId="15" fillId="0" borderId="0" xfId="4" applyFont="1" applyBorder="1" applyProtection="1"/>
    <xf numFmtId="0" fontId="15" fillId="0" borderId="17" xfId="4" applyFont="1" applyBorder="1" applyProtection="1"/>
    <xf numFmtId="6" fontId="15" fillId="0" borderId="0" xfId="4" applyNumberFormat="1" applyFont="1" applyBorder="1" applyProtection="1"/>
    <xf numFmtId="6" fontId="15" fillId="0" borderId="17" xfId="4" applyNumberFormat="1" applyFont="1" applyBorder="1" applyProtection="1"/>
    <xf numFmtId="0" fontId="41" fillId="9" borderId="16" xfId="4" applyFont="1" applyFill="1" applyBorder="1" applyAlignment="1" applyProtection="1">
      <alignment horizontal="center"/>
    </xf>
    <xf numFmtId="6" fontId="41" fillId="9" borderId="0" xfId="4" applyNumberFormat="1" applyFont="1" applyFill="1" applyBorder="1" applyProtection="1"/>
    <xf numFmtId="6" fontId="41" fillId="9" borderId="17" xfId="4" applyNumberFormat="1" applyFont="1" applyFill="1" applyBorder="1" applyProtection="1"/>
    <xf numFmtId="0" fontId="42" fillId="0" borderId="0" xfId="4" applyFont="1" applyProtection="1"/>
    <xf numFmtId="6" fontId="33" fillId="0" borderId="23" xfId="4" applyNumberFormat="1" applyFont="1" applyBorder="1" applyProtection="1">
      <protection locked="0"/>
    </xf>
    <xf numFmtId="6" fontId="33" fillId="0" borderId="12" xfId="4" applyNumberFormat="1" applyFont="1" applyBorder="1" applyProtection="1"/>
    <xf numFmtId="6" fontId="22" fillId="0" borderId="24" xfId="4" applyNumberFormat="1" applyFont="1" applyBorder="1" applyProtection="1"/>
    <xf numFmtId="0" fontId="43" fillId="0" borderId="0" xfId="4" applyFont="1" applyFill="1" applyProtection="1"/>
    <xf numFmtId="177" fontId="12" fillId="0" borderId="0" xfId="4" applyNumberFormat="1" applyFont="1" applyProtection="1"/>
    <xf numFmtId="9" fontId="12" fillId="0" borderId="0" xfId="4" quotePrefix="1" applyNumberFormat="1" applyFont="1" applyProtection="1"/>
    <xf numFmtId="6" fontId="12" fillId="0" borderId="0" xfId="4" applyNumberFormat="1" applyFont="1" applyProtection="1"/>
    <xf numFmtId="9" fontId="12" fillId="0" borderId="0" xfId="4" applyNumberFormat="1" applyFont="1" applyProtection="1">
      <protection locked="0"/>
    </xf>
    <xf numFmtId="6" fontId="33" fillId="0" borderId="3" xfId="4" applyNumberFormat="1" applyFont="1" applyFill="1" applyBorder="1" applyProtection="1">
      <protection locked="0"/>
    </xf>
    <xf numFmtId="6" fontId="33" fillId="0" borderId="6" xfId="4" applyNumberFormat="1" applyFont="1" applyBorder="1" applyProtection="1">
      <protection locked="0"/>
    </xf>
    <xf numFmtId="6" fontId="33" fillId="0" borderId="27" xfId="4" applyNumberFormat="1" applyFont="1" applyBorder="1" applyProtection="1">
      <protection locked="0"/>
    </xf>
    <xf numFmtId="49" fontId="15" fillId="0" borderId="14" xfId="4" applyNumberFormat="1" applyFont="1" applyBorder="1" applyAlignment="1" applyProtection="1">
      <alignment horizontal="center"/>
    </xf>
    <xf numFmtId="49" fontId="22" fillId="0" borderId="15" xfId="4" applyNumberFormat="1" applyFont="1" applyBorder="1" applyProtection="1"/>
    <xf numFmtId="6" fontId="33" fillId="0" borderId="10" xfId="4" applyNumberFormat="1" applyFont="1" applyBorder="1" applyProtection="1"/>
    <xf numFmtId="0" fontId="44" fillId="0" borderId="0" xfId="4" applyFont="1" applyBorder="1" applyAlignment="1" applyProtection="1">
      <alignment vertical="top"/>
    </xf>
    <xf numFmtId="6" fontId="22" fillId="0" borderId="6" xfId="4" applyNumberFormat="1" applyFont="1" applyBorder="1" applyProtection="1"/>
    <xf numFmtId="6" fontId="44" fillId="0" borderId="17" xfId="4" applyNumberFormat="1" applyFont="1" applyBorder="1" applyAlignment="1" applyProtection="1">
      <alignment horizontal="right"/>
    </xf>
    <xf numFmtId="6" fontId="22" fillId="0" borderId="17" xfId="4" applyNumberFormat="1" applyFont="1" applyBorder="1" applyProtection="1"/>
    <xf numFmtId="178" fontId="33" fillId="0" borderId="19" xfId="4" applyNumberFormat="1" applyFont="1" applyBorder="1" applyAlignment="1" applyProtection="1">
      <alignment horizontal="center"/>
      <protection locked="0"/>
    </xf>
    <xf numFmtId="6" fontId="22" fillId="0" borderId="28" xfId="4" applyNumberFormat="1" applyFont="1" applyBorder="1" applyProtection="1"/>
    <xf numFmtId="6" fontId="44" fillId="0" borderId="17" xfId="4" applyNumberFormat="1" applyFont="1" applyBorder="1" applyAlignment="1" applyProtection="1">
      <alignment horizontal="right" vertical="top"/>
    </xf>
    <xf numFmtId="6" fontId="33" fillId="0" borderId="19" xfId="4" applyNumberFormat="1" applyFont="1" applyBorder="1" applyProtection="1">
      <protection locked="0"/>
    </xf>
    <xf numFmtId="6" fontId="22" fillId="0" borderId="18" xfId="4" applyNumberFormat="1" applyFont="1" applyBorder="1" applyProtection="1"/>
    <xf numFmtId="6" fontId="18" fillId="0" borderId="19" xfId="4" applyNumberFormat="1" applyFont="1" applyBorder="1" applyProtection="1"/>
    <xf numFmtId="6" fontId="22" fillId="0" borderId="16" xfId="4" applyNumberFormat="1" applyFont="1" applyBorder="1" applyProtection="1"/>
    <xf numFmtId="6" fontId="18" fillId="0" borderId="18" xfId="4" applyNumberFormat="1" applyFont="1" applyBorder="1" applyProtection="1"/>
    <xf numFmtId="6" fontId="18" fillId="0" borderId="0" xfId="4" applyNumberFormat="1" applyFont="1" applyBorder="1" applyProtection="1"/>
    <xf numFmtId="6" fontId="18" fillId="0" borderId="1" xfId="4" applyNumberFormat="1" applyFont="1" applyBorder="1" applyProtection="1"/>
    <xf numFmtId="0" fontId="44" fillId="0" borderId="0" xfId="4" applyFont="1" applyBorder="1" applyAlignment="1" applyProtection="1">
      <alignment vertical="top" wrapText="1"/>
    </xf>
    <xf numFmtId="0" fontId="16" fillId="0" borderId="17" xfId="4" applyBorder="1" applyProtection="1"/>
    <xf numFmtId="177" fontId="14" fillId="0" borderId="17" xfId="4" applyNumberFormat="1" applyFont="1" applyBorder="1" applyProtection="1"/>
    <xf numFmtId="6" fontId="18" fillId="0" borderId="17" xfId="4" applyNumberFormat="1" applyFont="1" applyBorder="1" applyProtection="1"/>
    <xf numFmtId="0" fontId="16" fillId="0" borderId="14" xfId="4" applyBorder="1" applyProtection="1"/>
    <xf numFmtId="0" fontId="44" fillId="0" borderId="9" xfId="4" applyFont="1" applyBorder="1" applyProtection="1"/>
    <xf numFmtId="0" fontId="16" fillId="0" borderId="15" xfId="4" applyBorder="1" applyProtection="1"/>
    <xf numFmtId="0" fontId="16" fillId="0" borderId="9" xfId="4" applyBorder="1" applyProtection="1"/>
    <xf numFmtId="177" fontId="44" fillId="0" borderId="15" xfId="4" applyNumberFormat="1" applyFont="1" applyBorder="1" applyAlignment="1" applyProtection="1">
      <alignment horizontal="right" vertical="top"/>
    </xf>
    <xf numFmtId="0" fontId="46" fillId="0" borderId="0" xfId="0" applyFont="1"/>
    <xf numFmtId="0" fontId="46" fillId="0" borderId="16" xfId="0" applyFont="1" applyBorder="1"/>
    <xf numFmtId="0" fontId="46" fillId="0" borderId="0" xfId="0" applyFont="1" applyBorder="1"/>
    <xf numFmtId="0" fontId="46" fillId="0" borderId="17" xfId="0" applyFont="1" applyBorder="1"/>
    <xf numFmtId="14" fontId="47" fillId="5" borderId="0" xfId="0" applyNumberFormat="1" applyFont="1" applyFill="1" applyBorder="1"/>
    <xf numFmtId="0" fontId="46" fillId="6" borderId="20" xfId="0" applyFont="1" applyFill="1" applyBorder="1"/>
    <xf numFmtId="0" fontId="46" fillId="6" borderId="21" xfId="0" applyFont="1" applyFill="1" applyBorder="1"/>
    <xf numFmtId="0" fontId="46" fillId="6" borderId="22" xfId="0" applyFont="1" applyFill="1" applyBorder="1"/>
    <xf numFmtId="0" fontId="47" fillId="5" borderId="0" xfId="0" applyFont="1" applyFill="1" applyBorder="1"/>
    <xf numFmtId="0" fontId="46" fillId="0" borderId="12" xfId="0" applyFont="1" applyFill="1" applyBorder="1"/>
    <xf numFmtId="0" fontId="4" fillId="0" borderId="0" xfId="0" applyFont="1"/>
    <xf numFmtId="0" fontId="1" fillId="11" borderId="0" xfId="0" applyFont="1" applyFill="1" applyAlignment="1">
      <alignment horizontal="center"/>
    </xf>
    <xf numFmtId="9" fontId="1" fillId="11" borderId="0" xfId="0" applyNumberFormat="1" applyFont="1" applyFill="1" applyAlignment="1">
      <alignment horizontal="center"/>
    </xf>
    <xf numFmtId="0" fontId="1" fillId="12" borderId="0" xfId="0" applyFont="1" applyFill="1"/>
    <xf numFmtId="0" fontId="2" fillId="12" borderId="0" xfId="0" applyFont="1" applyFill="1"/>
    <xf numFmtId="1" fontId="1" fillId="0" borderId="0" xfId="0" applyNumberFormat="1" applyFont="1"/>
    <xf numFmtId="0" fontId="1" fillId="0" borderId="0" xfId="0" applyFont="1" applyAlignment="1">
      <alignment horizontal="left" indent="1"/>
    </xf>
    <xf numFmtId="179" fontId="1" fillId="0" borderId="0" xfId="0" applyNumberFormat="1" applyFont="1"/>
    <xf numFmtId="9" fontId="1" fillId="0" borderId="0" xfId="1" applyFont="1" applyAlignment="1">
      <alignment horizontal="left" indent="1"/>
    </xf>
    <xf numFmtId="9" fontId="1" fillId="0" borderId="0" xfId="1" applyFont="1"/>
    <xf numFmtId="37" fontId="46" fillId="0" borderId="12" xfId="3" applyNumberFormat="1" applyFont="1" applyFill="1" applyBorder="1" applyAlignment="1">
      <alignment horizontal="center"/>
    </xf>
    <xf numFmtId="0" fontId="45" fillId="10" borderId="20" xfId="0" applyFont="1" applyFill="1" applyBorder="1" applyAlignment="1">
      <alignment horizontal="center"/>
    </xf>
    <xf numFmtId="0" fontId="45" fillId="10" borderId="21" xfId="0" applyFont="1" applyFill="1" applyBorder="1" applyAlignment="1">
      <alignment horizontal="center"/>
    </xf>
    <xf numFmtId="0" fontId="45" fillId="10" borderId="22" xfId="0" applyFont="1" applyFill="1" applyBorder="1" applyAlignment="1">
      <alignment horizontal="center"/>
    </xf>
    <xf numFmtId="14" fontId="46" fillId="0" borderId="12" xfId="0" applyNumberFormat="1" applyFont="1" applyFill="1" applyBorder="1" applyAlignment="1">
      <alignment horizontal="center"/>
    </xf>
    <xf numFmtId="14" fontId="46" fillId="0" borderId="13" xfId="0" applyNumberFormat="1" applyFont="1" applyFill="1" applyBorder="1" applyAlignment="1">
      <alignment horizontal="center"/>
    </xf>
    <xf numFmtId="14" fontId="46" fillId="0" borderId="9" xfId="0" applyNumberFormat="1" applyFont="1" applyFill="1" applyBorder="1" applyAlignment="1">
      <alignment horizontal="center"/>
    </xf>
    <xf numFmtId="14" fontId="46" fillId="0" borderId="15" xfId="0" applyNumberFormat="1" applyFont="1" applyFill="1" applyBorder="1" applyAlignment="1">
      <alignment horizontal="center"/>
    </xf>
    <xf numFmtId="14" fontId="46" fillId="0" borderId="21" xfId="0" applyNumberFormat="1" applyFont="1" applyFill="1" applyBorder="1" applyAlignment="1">
      <alignment horizontal="center"/>
    </xf>
    <xf numFmtId="14" fontId="46" fillId="0" borderId="22" xfId="0" applyNumberFormat="1" applyFont="1" applyFill="1" applyBorder="1" applyAlignment="1">
      <alignment horizontal="center"/>
    </xf>
    <xf numFmtId="166" fontId="13" fillId="0" borderId="0" xfId="2" applyNumberFormat="1" applyFont="1" applyFill="1" applyAlignment="1" applyProtection="1">
      <alignment horizontal="center"/>
      <protection locked="0"/>
    </xf>
    <xf numFmtId="2" fontId="9" fillId="4" borderId="0" xfId="2" applyNumberFormat="1" applyFont="1" applyFill="1" applyAlignment="1" applyProtection="1">
      <protection locked="0"/>
    </xf>
    <xf numFmtId="0" fontId="38" fillId="9" borderId="11" xfId="4" applyFont="1" applyFill="1" applyBorder="1" applyAlignment="1" applyProtection="1">
      <alignment horizontal="center"/>
    </xf>
    <xf numFmtId="0" fontId="38" fillId="9" borderId="12" xfId="4" applyFont="1" applyFill="1" applyBorder="1" applyAlignment="1" applyProtection="1">
      <alignment horizontal="center"/>
    </xf>
    <xf numFmtId="0" fontId="38" fillId="9" borderId="13" xfId="4" applyFont="1" applyFill="1" applyBorder="1" applyAlignment="1" applyProtection="1">
      <alignment horizontal="center"/>
    </xf>
    <xf numFmtId="0" fontId="40" fillId="9" borderId="18" xfId="4" applyFont="1" applyFill="1" applyBorder="1" applyAlignment="1" applyProtection="1">
      <alignment horizontal="center"/>
    </xf>
    <xf numFmtId="0" fontId="40" fillId="9" borderId="1" xfId="4" applyFont="1" applyFill="1" applyBorder="1" applyAlignment="1" applyProtection="1">
      <alignment horizontal="center"/>
    </xf>
    <xf numFmtId="0" fontId="44" fillId="0" borderId="0" xfId="4" applyFont="1" applyBorder="1" applyAlignment="1" applyProtection="1">
      <alignment horizontal="left" vertical="top" wrapText="1"/>
    </xf>
    <xf numFmtId="0" fontId="44" fillId="0" borderId="17" xfId="4" applyFont="1" applyBorder="1" applyAlignment="1" applyProtection="1">
      <alignment horizontal="left" vertical="top" wrapText="1"/>
    </xf>
    <xf numFmtId="2" fontId="19" fillId="0" borderId="0" xfId="2" applyFont="1" applyAlignment="1" applyProtection="1">
      <alignment horizontal="left"/>
      <protection locked="0"/>
    </xf>
    <xf numFmtId="2" fontId="15" fillId="0" borderId="0" xfId="2" applyFont="1" applyAlignment="1" applyProtection="1">
      <alignment horizontal="left"/>
    </xf>
    <xf numFmtId="2" fontId="18" fillId="4" borderId="0" xfId="2" applyNumberFormat="1" applyFont="1" applyFill="1" applyAlignment="1" applyProtection="1">
      <protection locked="0"/>
    </xf>
    <xf numFmtId="2" fontId="16" fillId="0" borderId="0" xfId="2" applyFont="1" applyAlignment="1"/>
    <xf numFmtId="2" fontId="15" fillId="0" borderId="0" xfId="2" applyFont="1" applyBorder="1" applyAlignment="1" applyProtection="1">
      <alignment horizontal="left" vertical="center"/>
    </xf>
    <xf numFmtId="2" fontId="18" fillId="4" borderId="0" xfId="2" applyNumberFormat="1" applyFont="1" applyFill="1" applyBorder="1" applyAlignment="1" applyProtection="1">
      <alignment vertical="center"/>
      <protection locked="0"/>
    </xf>
    <xf numFmtId="2" fontId="20" fillId="0" borderId="0" xfId="2" applyFont="1" applyAlignment="1"/>
    <xf numFmtId="2" fontId="16" fillId="0" borderId="0" xfId="2" applyFont="1" applyBorder="1" applyAlignment="1">
      <alignment horizontal="center"/>
    </xf>
    <xf numFmtId="9" fontId="21" fillId="0" borderId="6" xfId="2" quotePrefix="1" applyNumberFormat="1" applyFont="1" applyBorder="1" applyAlignment="1">
      <alignment horizontal="center"/>
    </xf>
    <xf numFmtId="9" fontId="21" fillId="0" borderId="6" xfId="2" applyNumberFormat="1" applyFont="1" applyBorder="1" applyAlignment="1">
      <alignment horizontal="center"/>
    </xf>
    <xf numFmtId="2" fontId="16" fillId="0" borderId="7" xfId="2" applyFont="1" applyBorder="1" applyAlignment="1" applyProtection="1">
      <alignment horizontal="center"/>
    </xf>
    <xf numFmtId="2" fontId="9" fillId="4" borderId="7" xfId="2" applyNumberFormat="1" applyFont="1" applyFill="1" applyBorder="1" applyAlignment="1" applyProtection="1">
      <protection locked="0"/>
    </xf>
    <xf numFmtId="2" fontId="22" fillId="0" borderId="3" xfId="2" applyFont="1" applyBorder="1" applyAlignment="1" applyProtection="1">
      <alignment vertical="center"/>
    </xf>
    <xf numFmtId="2" fontId="18" fillId="4" borderId="3" xfId="2" applyNumberFormat="1" applyFont="1" applyFill="1" applyBorder="1" applyAlignment="1" applyProtection="1">
      <alignment vertical="center"/>
      <protection locked="0"/>
    </xf>
    <xf numFmtId="2" fontId="9" fillId="4" borderId="3" xfId="2" applyNumberFormat="1" applyFont="1" applyFill="1" applyBorder="1" applyAlignment="1" applyProtection="1">
      <protection locked="0"/>
    </xf>
    <xf numFmtId="2" fontId="16" fillId="0" borderId="0" xfId="2" applyFont="1" applyAlignment="1" applyProtection="1">
      <alignment horizontal="right"/>
    </xf>
    <xf numFmtId="2" fontId="9" fillId="4" borderId="0" xfId="2" applyNumberFormat="1" applyFont="1" applyFill="1" applyAlignment="1" applyProtection="1">
      <alignment horizontal="right"/>
      <protection locked="0"/>
    </xf>
    <xf numFmtId="2" fontId="16" fillId="0" borderId="1" xfId="2" applyFont="1" applyBorder="1" applyAlignment="1" applyProtection="1">
      <alignment horizontal="right"/>
    </xf>
    <xf numFmtId="2" fontId="9" fillId="4" borderId="1" xfId="2" applyNumberFormat="1" applyFont="1" applyFill="1" applyBorder="1" applyAlignment="1" applyProtection="1">
      <alignment horizontal="right"/>
      <protection locked="0"/>
    </xf>
    <xf numFmtId="2" fontId="29" fillId="0" borderId="0" xfId="2" applyFont="1" applyFill="1" applyAlignment="1">
      <alignment horizontal="center"/>
    </xf>
    <xf numFmtId="2" fontId="9" fillId="4" borderId="0" xfId="2" applyNumberFormat="1" applyFont="1" applyFill="1" applyAlignment="1" applyProtection="1">
      <alignment horizontal="left"/>
      <protection locked="0"/>
    </xf>
    <xf numFmtId="0" fontId="34" fillId="0" borderId="0" xfId="0" applyFont="1" applyAlignment="1">
      <alignment horizontal="center" vertical="top"/>
    </xf>
    <xf numFmtId="0" fontId="35" fillId="0" borderId="0" xfId="0" applyFont="1" applyAlignment="1">
      <alignment horizontal="center" wrapText="1"/>
    </xf>
  </cellXfs>
  <cellStyles count="5">
    <cellStyle name="Comma 2" xfId="3"/>
    <cellStyle name="Normal" xfId="0" builtinId="0"/>
    <cellStyle name="Normal 2" xfId="2"/>
    <cellStyle name="Normal 2 2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10</xdr:row>
      <xdr:rowOff>200025</xdr:rowOff>
    </xdr:from>
    <xdr:to>
      <xdr:col>9</xdr:col>
      <xdr:colOff>228601</xdr:colOff>
      <xdr:row>21</xdr:row>
      <xdr:rowOff>142876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8A7443-35FF-4C7C-AA8F-487CED56C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2275" y="2676525"/>
          <a:ext cx="3406776" cy="2168526"/>
        </a:xfrm>
        <a:prstGeom prst="rect">
          <a:avLst/>
        </a:prstGeom>
        <a:ln cmpd="tri"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28575</xdr:colOff>
      <xdr:row>0</xdr:row>
      <xdr:rowOff>552450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id="{5569D815-3956-4290-B99C-0FC3E03A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763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26"/>
  <sheetViews>
    <sheetView showGridLines="0" tabSelected="1" workbookViewId="0">
      <selection activeCell="C23" sqref="C23"/>
    </sheetView>
  </sheetViews>
  <sheetFormatPr defaultColWidth="9.21875" defaultRowHeight="21" x14ac:dyDescent="0.4"/>
  <cols>
    <col min="1" max="1" width="2.21875" style="285" customWidth="1"/>
    <col min="2" max="2" width="44.44140625" style="285" bestFit="1" customWidth="1"/>
    <col min="3" max="3" width="19.5546875" style="285" customWidth="1"/>
    <col min="4" max="4" width="12.21875" style="285" customWidth="1"/>
    <col min="5" max="16384" width="9.21875" style="285"/>
  </cols>
  <sheetData>
    <row r="1" spans="2:4" ht="46.8" thickBot="1" x14ac:dyDescent="0.9">
      <c r="B1" s="306" t="s">
        <v>307</v>
      </c>
      <c r="C1" s="307"/>
      <c r="D1" s="308"/>
    </row>
    <row r="2" spans="2:4" ht="11.25" customHeight="1" x14ac:dyDescent="0.4">
      <c r="B2" s="286"/>
      <c r="C2" s="287"/>
      <c r="D2" s="288"/>
    </row>
    <row r="3" spans="2:4" ht="21.6" thickBot="1" x14ac:dyDescent="0.45">
      <c r="B3" s="286" t="s">
        <v>308</v>
      </c>
      <c r="C3" s="289">
        <v>44562</v>
      </c>
      <c r="D3" s="288"/>
    </row>
    <row r="4" spans="2:4" ht="7.05" customHeight="1" thickBot="1" x14ac:dyDescent="0.45">
      <c r="B4" s="290"/>
      <c r="C4" s="291"/>
      <c r="D4" s="292"/>
    </row>
    <row r="5" spans="2:4" ht="19.95" customHeight="1" x14ac:dyDescent="0.4">
      <c r="B5" s="286" t="s">
        <v>309</v>
      </c>
      <c r="C5" s="293">
        <v>284</v>
      </c>
      <c r="D5" s="288" t="s">
        <v>310</v>
      </c>
    </row>
    <row r="6" spans="2:4" ht="19.95" customHeight="1" x14ac:dyDescent="0.4">
      <c r="B6" s="286" t="s">
        <v>311</v>
      </c>
      <c r="C6" s="293">
        <v>305</v>
      </c>
      <c r="D6" s="288" t="s">
        <v>310</v>
      </c>
    </row>
    <row r="7" spans="2:4" ht="19.95" customHeight="1" thickBot="1" x14ac:dyDescent="0.45">
      <c r="B7" s="286" t="s">
        <v>312</v>
      </c>
      <c r="C7" s="293">
        <v>60</v>
      </c>
      <c r="D7" s="288" t="s">
        <v>310</v>
      </c>
    </row>
    <row r="8" spans="2:4" ht="7.95" customHeight="1" thickBot="1" x14ac:dyDescent="0.45">
      <c r="B8" s="290"/>
      <c r="C8" s="291"/>
      <c r="D8" s="292"/>
    </row>
    <row r="9" spans="2:4" x14ac:dyDescent="0.4">
      <c r="B9" s="286" t="s">
        <v>313</v>
      </c>
      <c r="C9" s="293">
        <v>21</v>
      </c>
      <c r="D9" s="288" t="s">
        <v>310</v>
      </c>
    </row>
    <row r="10" spans="2:4" ht="20.25" customHeight="1" x14ac:dyDescent="0.4">
      <c r="B10" s="286" t="s">
        <v>314</v>
      </c>
      <c r="C10" s="293">
        <v>2</v>
      </c>
      <c r="D10" s="288" t="s">
        <v>315</v>
      </c>
    </row>
    <row r="11" spans="2:4" ht="21.6" thickBot="1" x14ac:dyDescent="0.45">
      <c r="B11" s="286" t="s">
        <v>316</v>
      </c>
      <c r="C11" s="293">
        <v>60</v>
      </c>
      <c r="D11" s="288" t="s">
        <v>310</v>
      </c>
    </row>
    <row r="12" spans="2:4" ht="7.05" customHeight="1" thickBot="1" x14ac:dyDescent="0.45">
      <c r="B12" s="290"/>
      <c r="C12" s="291"/>
      <c r="D12" s="292"/>
    </row>
    <row r="13" spans="2:4" ht="21" customHeight="1" x14ac:dyDescent="0.4">
      <c r="B13" s="286" t="s">
        <v>317</v>
      </c>
      <c r="C13" s="309">
        <f>C3+C7</f>
        <v>44622</v>
      </c>
      <c r="D13" s="310"/>
    </row>
    <row r="14" spans="2:4" ht="21" customHeight="1" thickBot="1" x14ac:dyDescent="0.45">
      <c r="B14" s="286" t="s">
        <v>318</v>
      </c>
      <c r="C14" s="311">
        <f>C13+C9*(C10-1)</f>
        <v>44643</v>
      </c>
      <c r="D14" s="312"/>
    </row>
    <row r="15" spans="2:4" ht="7.05" customHeight="1" thickBot="1" x14ac:dyDescent="0.45">
      <c r="B15" s="290"/>
      <c r="C15" s="291"/>
      <c r="D15" s="292"/>
    </row>
    <row r="16" spans="2:4" ht="21" customHeight="1" thickBot="1" x14ac:dyDescent="0.45">
      <c r="B16" s="286" t="s">
        <v>319</v>
      </c>
      <c r="C16" s="313">
        <f>C3+C6</f>
        <v>44867</v>
      </c>
      <c r="D16" s="314"/>
    </row>
    <row r="17" spans="2:4" ht="7.05" customHeight="1" thickBot="1" x14ac:dyDescent="0.45">
      <c r="B17" s="290"/>
      <c r="C17" s="291"/>
      <c r="D17" s="292"/>
    </row>
    <row r="18" spans="2:4" ht="21" customHeight="1" thickBot="1" x14ac:dyDescent="0.45">
      <c r="B18" s="286" t="s">
        <v>360</v>
      </c>
      <c r="C18" s="313">
        <f>C14+C5</f>
        <v>44927</v>
      </c>
      <c r="D18" s="314"/>
    </row>
    <row r="19" spans="2:4" ht="7.05" customHeight="1" thickBot="1" x14ac:dyDescent="0.45">
      <c r="B19" s="290"/>
      <c r="C19" s="291"/>
      <c r="D19" s="292"/>
    </row>
    <row r="20" spans="2:4" ht="21" customHeight="1" x14ac:dyDescent="0.4">
      <c r="B20" s="294"/>
      <c r="C20" s="305"/>
      <c r="D20" s="305"/>
    </row>
    <row r="26" spans="2:4" x14ac:dyDescent="0.4">
      <c r="B26" s="1" t="s">
        <v>297</v>
      </c>
    </row>
  </sheetData>
  <mergeCells count="6">
    <mergeCell ref="C20:D20"/>
    <mergeCell ref="B1:D1"/>
    <mergeCell ref="C13:D13"/>
    <mergeCell ref="C14:D14"/>
    <mergeCell ref="C16:D16"/>
    <mergeCell ref="C18:D18"/>
  </mergeCells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workbookViewId="0">
      <selection activeCell="E5" sqref="E5"/>
    </sheetView>
  </sheetViews>
  <sheetFormatPr defaultColWidth="8.77734375" defaultRowHeight="18" x14ac:dyDescent="0.35"/>
  <cols>
    <col min="1" max="2" width="8.77734375" style="158"/>
    <col min="3" max="3" width="32.5546875" style="158" customWidth="1"/>
    <col min="4" max="4" width="10.33203125" style="158" customWidth="1"/>
    <col min="5" max="5" width="51.33203125" style="158" customWidth="1"/>
    <col min="6" max="6" width="9.109375" style="158" customWidth="1"/>
    <col min="7" max="7" width="31.88671875" style="158" bestFit="1" customWidth="1"/>
    <col min="8" max="8" width="8.77734375" style="158"/>
    <col min="9" max="9" width="17" style="158" bestFit="1" customWidth="1"/>
    <col min="10" max="16384" width="8.77734375" style="158"/>
  </cols>
  <sheetData>
    <row r="1" spans="1:13" ht="21" x14ac:dyDescent="0.4">
      <c r="A1" s="295" t="s">
        <v>320</v>
      </c>
    </row>
    <row r="2" spans="1:13" x14ac:dyDescent="0.35">
      <c r="D2" s="159" t="s">
        <v>321</v>
      </c>
      <c r="E2" s="159"/>
      <c r="F2" s="159" t="s">
        <v>322</v>
      </c>
    </row>
    <row r="3" spans="1:13" x14ac:dyDescent="0.35">
      <c r="C3" s="158" t="s">
        <v>323</v>
      </c>
      <c r="D3" s="296">
        <v>500</v>
      </c>
      <c r="E3" s="158" t="s">
        <v>324</v>
      </c>
      <c r="F3" s="296">
        <v>750</v>
      </c>
    </row>
    <row r="4" spans="1:13" x14ac:dyDescent="0.35">
      <c r="C4" s="158" t="s">
        <v>325</v>
      </c>
      <c r="D4" s="297">
        <v>0.4</v>
      </c>
      <c r="E4" s="158" t="s">
        <v>326</v>
      </c>
      <c r="F4" s="297">
        <v>0.4</v>
      </c>
    </row>
    <row r="5" spans="1:13" x14ac:dyDescent="0.35">
      <c r="C5" s="158" t="s">
        <v>327</v>
      </c>
      <c r="D5" s="296">
        <v>25</v>
      </c>
      <c r="E5" s="158" t="s">
        <v>165</v>
      </c>
      <c r="F5" s="296">
        <v>25</v>
      </c>
    </row>
    <row r="6" spans="1:13" x14ac:dyDescent="0.35">
      <c r="C6" s="158" t="s">
        <v>328</v>
      </c>
      <c r="D6" s="297">
        <v>0.05</v>
      </c>
      <c r="E6" s="158" t="s">
        <v>329</v>
      </c>
      <c r="F6" s="297">
        <v>0.05</v>
      </c>
    </row>
    <row r="7" spans="1:13" x14ac:dyDescent="0.35">
      <c r="C7" s="158" t="s">
        <v>330</v>
      </c>
      <c r="D7" s="296">
        <v>14</v>
      </c>
      <c r="E7" s="158" t="s">
        <v>165</v>
      </c>
      <c r="F7" s="296">
        <v>14</v>
      </c>
    </row>
    <row r="8" spans="1:13" x14ac:dyDescent="0.35">
      <c r="C8" s="158" t="s">
        <v>331</v>
      </c>
      <c r="D8" s="297">
        <v>0.5</v>
      </c>
      <c r="E8" s="158" t="s">
        <v>332</v>
      </c>
      <c r="F8" s="297">
        <v>0.5</v>
      </c>
    </row>
    <row r="9" spans="1:13" x14ac:dyDescent="0.35">
      <c r="C9" s="158" t="s">
        <v>333</v>
      </c>
      <c r="D9" s="297">
        <v>0.06</v>
      </c>
      <c r="E9" s="158" t="s">
        <v>334</v>
      </c>
      <c r="F9" s="297">
        <v>0.06</v>
      </c>
    </row>
    <row r="10" spans="1:13" ht="9.4499999999999993" customHeight="1" x14ac:dyDescent="0.35">
      <c r="A10" s="298"/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</row>
    <row r="11" spans="1:13" x14ac:dyDescent="0.35">
      <c r="A11" s="159"/>
    </row>
    <row r="12" spans="1:13" x14ac:dyDescent="0.35">
      <c r="D12" s="159" t="s">
        <v>321</v>
      </c>
      <c r="E12" s="159"/>
      <c r="F12" s="159" t="s">
        <v>322</v>
      </c>
    </row>
    <row r="13" spans="1:13" x14ac:dyDescent="0.35">
      <c r="B13" s="159" t="s">
        <v>335</v>
      </c>
      <c r="D13" s="158" t="str">
        <f>ROUND(D3*0.9,0)&amp;" to "&amp;ROUND(D3*1.1,0)&amp;" heifers (total)"</f>
        <v>450 to 550 heifers (total)</v>
      </c>
      <c r="F13" s="158" t="str">
        <f>ROUND(F3*0.9,0)&amp;" to "&amp;ROUND(F3*1.1,0)&amp;" heifers (total)"</f>
        <v>675 to 825 heifers (total)</v>
      </c>
    </row>
    <row r="14" spans="1:13" x14ac:dyDescent="0.35">
      <c r="B14" s="159"/>
    </row>
    <row r="15" spans="1:13" x14ac:dyDescent="0.35">
      <c r="B15" s="159"/>
      <c r="C15" s="158" t="s">
        <v>336</v>
      </c>
    </row>
    <row r="16" spans="1:13" ht="7.95" customHeight="1" x14ac:dyDescent="0.35">
      <c r="A16" s="298"/>
      <c r="B16" s="299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</row>
    <row r="17" spans="1:13" x14ac:dyDescent="0.35">
      <c r="B17" s="159" t="s">
        <v>337</v>
      </c>
      <c r="D17" s="300">
        <f>ROUND(D24,0)</f>
        <v>219</v>
      </c>
      <c r="E17" s="301" t="str">
        <f>"or "&amp;ROUND(D17/$D$3*100,0)&amp;"% of all cows"</f>
        <v>or 44% of all cows</v>
      </c>
      <c r="F17" s="300">
        <f>ROUND(F24,0)</f>
        <v>328</v>
      </c>
      <c r="G17" s="301" t="str">
        <f>"or "&amp;ROUND(F17/$F$3*100,0)&amp;"% of all cows"</f>
        <v>or 44% of all cows</v>
      </c>
    </row>
    <row r="18" spans="1:13" x14ac:dyDescent="0.35">
      <c r="B18" s="159"/>
      <c r="D18" s="300">
        <f>D17*2</f>
        <v>438</v>
      </c>
      <c r="E18" s="301" t="str">
        <f>"or "&amp;ROUND(D18/$D$3*100,0)&amp;"% of all cows (2 years of heifers)"</f>
        <v>or 88% of all cows (2 years of heifers)</v>
      </c>
      <c r="F18" s="300">
        <f>F17*2</f>
        <v>656</v>
      </c>
      <c r="G18" s="301" t="str">
        <f>"or "&amp;ROUND(F18/$F$3*100,0)&amp;"% of all cows (2 years of heifers)"</f>
        <v>or 87% of all cows (2 years of heifers)</v>
      </c>
    </row>
    <row r="19" spans="1:13" x14ac:dyDescent="0.35">
      <c r="B19" s="159"/>
      <c r="D19" s="300"/>
      <c r="E19" s="301"/>
      <c r="F19" s="300"/>
      <c r="G19" s="301"/>
    </row>
    <row r="20" spans="1:13" x14ac:dyDescent="0.35">
      <c r="B20" s="159"/>
      <c r="C20" s="158" t="s">
        <v>338</v>
      </c>
      <c r="G20" s="301"/>
    </row>
    <row r="21" spans="1:13" x14ac:dyDescent="0.35">
      <c r="B21" s="159"/>
      <c r="C21" s="301"/>
      <c r="G21" s="301"/>
    </row>
    <row r="22" spans="1:13" x14ac:dyDescent="0.35">
      <c r="B22" s="159"/>
      <c r="C22" s="301"/>
      <c r="D22" s="300">
        <f>D3*D4</f>
        <v>200</v>
      </c>
      <c r="E22" s="301" t="s">
        <v>339</v>
      </c>
      <c r="F22" s="302">
        <f>F3*F4</f>
        <v>300</v>
      </c>
      <c r="G22" s="301" t="s">
        <v>340</v>
      </c>
      <c r="I22" s="158" t="s">
        <v>341</v>
      </c>
    </row>
    <row r="23" spans="1:13" x14ac:dyDescent="0.35">
      <c r="B23" s="159"/>
      <c r="C23" s="301"/>
      <c r="D23" s="300">
        <f>D22*(D5/24)</f>
        <v>208.33333333333334</v>
      </c>
      <c r="E23" s="301" t="s">
        <v>342</v>
      </c>
      <c r="F23" s="302">
        <f>F22*(F5/24)</f>
        <v>312.5</v>
      </c>
      <c r="G23" s="301" t="s">
        <v>343</v>
      </c>
      <c r="I23" s="158" t="s">
        <v>344</v>
      </c>
    </row>
    <row r="24" spans="1:13" x14ac:dyDescent="0.35">
      <c r="B24" s="159"/>
      <c r="D24" s="300">
        <f>D23*(1+D6)</f>
        <v>218.75000000000003</v>
      </c>
      <c r="E24" s="301" t="s">
        <v>345</v>
      </c>
      <c r="F24" s="302">
        <f>F23*(1+F6)</f>
        <v>328.125</v>
      </c>
      <c r="G24" s="301" t="s">
        <v>346</v>
      </c>
      <c r="I24" s="158" t="s">
        <v>347</v>
      </c>
    </row>
    <row r="25" spans="1:13" ht="6.45" customHeight="1" x14ac:dyDescent="0.35">
      <c r="A25" s="298"/>
      <c r="B25" s="299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</row>
    <row r="26" spans="1:13" x14ac:dyDescent="0.35">
      <c r="B26" s="159" t="s">
        <v>348</v>
      </c>
      <c r="D26" s="300">
        <f>D34</f>
        <v>193.37142857142857</v>
      </c>
      <c r="E26" s="303" t="str">
        <f>"or "&amp;ROUND(D26/$D$3*100,0)&amp;"% of all cows"</f>
        <v>or 39% of all cows</v>
      </c>
      <c r="F26" s="300">
        <f>F34</f>
        <v>290.05714285714282</v>
      </c>
      <c r="G26" s="303" t="str">
        <f>"or "&amp;ROUND(F26/F3*100,0)&amp;"% of all cows"</f>
        <v>or 39% of all cows</v>
      </c>
      <c r="H26" s="304"/>
    </row>
    <row r="27" spans="1:13" x14ac:dyDescent="0.35">
      <c r="D27" s="300">
        <f>D26*2</f>
        <v>386.74285714285713</v>
      </c>
      <c r="E27" s="303" t="str">
        <f>"or "&amp;ROUND(D27/$D$3*100,0)&amp;"% of all cows (2 years of heifers)"</f>
        <v>or 77% of all cows (2 years of heifers)</v>
      </c>
      <c r="F27" s="300">
        <f>F26*2</f>
        <v>580.11428571428564</v>
      </c>
      <c r="G27" s="301" t="str">
        <f>"or "&amp;ROUND(F27/$F$3*100,0)&amp;"% of all cows (2 years of heifers)"</f>
        <v>or 77% of all cows (2 years of heifers)</v>
      </c>
      <c r="H27" s="304"/>
    </row>
    <row r="28" spans="1:13" x14ac:dyDescent="0.35">
      <c r="D28" s="300"/>
      <c r="E28" s="303"/>
      <c r="F28" s="300"/>
      <c r="G28" s="301"/>
      <c r="H28" s="304"/>
    </row>
    <row r="29" spans="1:13" x14ac:dyDescent="0.35">
      <c r="C29" s="158" t="s">
        <v>349</v>
      </c>
      <c r="G29" s="301"/>
    </row>
    <row r="30" spans="1:13" x14ac:dyDescent="0.35">
      <c r="G30" s="301"/>
    </row>
    <row r="31" spans="1:13" x14ac:dyDescent="0.35">
      <c r="D31" s="158">
        <f>D3*D8</f>
        <v>250</v>
      </c>
      <c r="E31" s="301" t="s">
        <v>350</v>
      </c>
      <c r="F31" s="158">
        <f>F3*F8</f>
        <v>375</v>
      </c>
      <c r="G31" s="301" t="s">
        <v>351</v>
      </c>
      <c r="I31" s="158" t="s">
        <v>352</v>
      </c>
    </row>
    <row r="32" spans="1:13" x14ac:dyDescent="0.35">
      <c r="D32" s="300">
        <f>D31*(12/D7)</f>
        <v>214.28571428571428</v>
      </c>
      <c r="E32" s="301" t="s">
        <v>353</v>
      </c>
      <c r="F32" s="300">
        <f>F31*(12/F7)</f>
        <v>321.42857142857139</v>
      </c>
      <c r="G32" s="301" t="s">
        <v>331</v>
      </c>
      <c r="I32" s="158" t="s">
        <v>354</v>
      </c>
    </row>
    <row r="33" spans="4:9" x14ac:dyDescent="0.35">
      <c r="D33" s="300">
        <f>D32*(1-D9)</f>
        <v>201.42857142857142</v>
      </c>
      <c r="E33" s="301" t="s">
        <v>355</v>
      </c>
      <c r="F33" s="300">
        <f>F32*(1-F9)</f>
        <v>302.14285714285711</v>
      </c>
      <c r="G33" s="301" t="s">
        <v>356</v>
      </c>
      <c r="I33" s="158" t="s">
        <v>357</v>
      </c>
    </row>
    <row r="34" spans="4:9" x14ac:dyDescent="0.35">
      <c r="D34" s="300">
        <f>D33*(24/D5)</f>
        <v>193.37142857142857</v>
      </c>
      <c r="E34" s="301" t="s">
        <v>355</v>
      </c>
      <c r="F34" s="300">
        <f>F33*(24/F5)</f>
        <v>290.05714285714282</v>
      </c>
      <c r="G34" s="301" t="s">
        <v>358</v>
      </c>
      <c r="I34" s="158" t="s">
        <v>359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69"/>
  <sheetViews>
    <sheetView showGridLines="0" zoomScale="75" zoomScaleNormal="75" workbookViewId="0">
      <selection activeCell="F3" sqref="F3"/>
    </sheetView>
  </sheetViews>
  <sheetFormatPr defaultColWidth="9.21875" defaultRowHeight="13.2" x14ac:dyDescent="0.25"/>
  <cols>
    <col min="1" max="1" width="2.77734375" style="201" customWidth="1"/>
    <col min="2" max="2" width="51.77734375" style="201" customWidth="1"/>
    <col min="3" max="3" width="14.77734375" style="201" customWidth="1"/>
    <col min="4" max="4" width="18.77734375" style="201" customWidth="1"/>
    <col min="5" max="5" width="2.77734375" style="201" customWidth="1"/>
    <col min="6" max="6" width="18.77734375" style="201" customWidth="1"/>
    <col min="7" max="7" width="2.77734375" style="201" customWidth="1"/>
    <col min="8" max="8" width="18.77734375" style="201" customWidth="1"/>
    <col min="9" max="9" width="2.77734375" style="201" customWidth="1"/>
    <col min="10" max="10" width="18.77734375" style="201" customWidth="1"/>
    <col min="11" max="11" width="2.77734375" style="201" customWidth="1"/>
    <col min="12" max="12" width="18.77734375" style="201" customWidth="1"/>
    <col min="13" max="13" width="2.77734375" style="201" customWidth="1"/>
    <col min="14" max="14" width="18.77734375" style="201" customWidth="1"/>
    <col min="15" max="15" width="2.77734375" style="201" customWidth="1"/>
    <col min="16" max="16" width="18.77734375" style="201" customWidth="1"/>
    <col min="17" max="17" width="2.77734375" style="201" customWidth="1"/>
    <col min="18" max="18" width="18.77734375" style="201" customWidth="1"/>
    <col min="19" max="19" width="2.77734375" style="201" customWidth="1"/>
    <col min="20" max="20" width="18.77734375" style="201" customWidth="1"/>
    <col min="21" max="21" width="2.77734375" style="201" customWidth="1"/>
    <col min="22" max="22" width="18.77734375" style="201" customWidth="1"/>
    <col min="23" max="23" width="2.77734375" style="201" customWidth="1"/>
    <col min="24" max="24" width="18.77734375" style="201" customWidth="1"/>
    <col min="25" max="25" width="2.77734375" style="201" customWidth="1"/>
    <col min="26" max="26" width="18.77734375" style="201" customWidth="1"/>
    <col min="27" max="27" width="2.77734375" style="201" customWidth="1"/>
    <col min="28" max="28" width="18.77734375" style="201" customWidth="1"/>
    <col min="29" max="29" width="9.21875" style="201"/>
    <col min="30" max="31" width="9.21875" style="201" bestFit="1" customWidth="1"/>
    <col min="32" max="32" width="11.44140625" style="201" bestFit="1" customWidth="1"/>
    <col min="33" max="34" width="9.21875" style="201" bestFit="1" customWidth="1"/>
    <col min="35" max="16384" width="9.21875" style="201"/>
  </cols>
  <sheetData>
    <row r="1" spans="1:36" ht="22.8" x14ac:dyDescent="0.4">
      <c r="A1" s="317" t="s">
        <v>211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9"/>
    </row>
    <row r="2" spans="1:36" ht="24.75" customHeight="1" x14ac:dyDescent="0.25">
      <c r="A2" s="202"/>
      <c r="B2" s="203"/>
      <c r="C2" s="203"/>
      <c r="D2" s="204" t="s">
        <v>212</v>
      </c>
      <c r="E2" s="203"/>
      <c r="F2" s="205">
        <v>2020</v>
      </c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6"/>
    </row>
    <row r="3" spans="1:36" ht="20.100000000000001" customHeight="1" x14ac:dyDescent="0.3">
      <c r="A3" s="320" t="s">
        <v>213</v>
      </c>
      <c r="B3" s="321"/>
      <c r="C3" s="207"/>
      <c r="D3" s="208" t="s">
        <v>214</v>
      </c>
      <c r="E3" s="208"/>
      <c r="F3" s="208" t="s">
        <v>215</v>
      </c>
      <c r="G3" s="208"/>
      <c r="H3" s="208" t="s">
        <v>216</v>
      </c>
      <c r="I3" s="208"/>
      <c r="J3" s="208" t="s">
        <v>217</v>
      </c>
      <c r="K3" s="208"/>
      <c r="L3" s="208" t="s">
        <v>152</v>
      </c>
      <c r="M3" s="208"/>
      <c r="N3" s="208" t="s">
        <v>153</v>
      </c>
      <c r="O3" s="208"/>
      <c r="P3" s="208" t="s">
        <v>218</v>
      </c>
      <c r="Q3" s="208"/>
      <c r="R3" s="208" t="s">
        <v>154</v>
      </c>
      <c r="S3" s="208"/>
      <c r="T3" s="208" t="s">
        <v>219</v>
      </c>
      <c r="U3" s="208"/>
      <c r="V3" s="208" t="s">
        <v>155</v>
      </c>
      <c r="W3" s="208"/>
      <c r="X3" s="208" t="s">
        <v>220</v>
      </c>
      <c r="Y3" s="208"/>
      <c r="Z3" s="208" t="s">
        <v>221</v>
      </c>
      <c r="AA3" s="208"/>
      <c r="AB3" s="209" t="s">
        <v>81</v>
      </c>
    </row>
    <row r="4" spans="1:36" ht="9.75" customHeight="1" x14ac:dyDescent="0.25">
      <c r="A4" s="210"/>
      <c r="B4" s="211"/>
      <c r="C4" s="212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4"/>
    </row>
    <row r="5" spans="1:36" ht="20.100000000000001" customHeight="1" x14ac:dyDescent="0.3">
      <c r="A5" s="215"/>
      <c r="B5" s="216" t="s">
        <v>222</v>
      </c>
      <c r="C5" s="217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9"/>
      <c r="AD5" s="220"/>
      <c r="AE5" s="220"/>
      <c r="AF5" s="220"/>
      <c r="AG5" s="220"/>
      <c r="AH5" s="220"/>
      <c r="AI5" s="220"/>
      <c r="AJ5" s="220"/>
    </row>
    <row r="6" spans="1:36" ht="21" customHeight="1" x14ac:dyDescent="0.3">
      <c r="A6" s="210"/>
      <c r="B6" s="221" t="s">
        <v>223</v>
      </c>
      <c r="C6" s="222"/>
      <c r="D6" s="223"/>
      <c r="E6" s="224"/>
      <c r="F6" s="223"/>
      <c r="G6" s="224"/>
      <c r="H6" s="223"/>
      <c r="I6" s="224"/>
      <c r="J6" s="223"/>
      <c r="K6" s="224"/>
      <c r="L6" s="223"/>
      <c r="M6" s="224"/>
      <c r="N6" s="223"/>
      <c r="O6" s="224"/>
      <c r="P6" s="223"/>
      <c r="Q6" s="224"/>
      <c r="R6" s="223"/>
      <c r="S6" s="224"/>
      <c r="T6" s="223"/>
      <c r="U6" s="224"/>
      <c r="V6" s="223"/>
      <c r="W6" s="224"/>
      <c r="X6" s="223"/>
      <c r="Y6" s="224"/>
      <c r="Z6" s="223"/>
      <c r="AA6" s="224"/>
      <c r="AB6" s="225">
        <f t="shared" ref="AB6:AB11" si="0">SUM(D6:Z6)</f>
        <v>0</v>
      </c>
      <c r="AD6" s="220"/>
      <c r="AE6" s="226"/>
      <c r="AF6" s="226"/>
      <c r="AG6" s="226"/>
      <c r="AH6" s="226"/>
      <c r="AI6" s="220"/>
      <c r="AJ6" s="220"/>
    </row>
    <row r="7" spans="1:36" ht="21" customHeight="1" x14ac:dyDescent="0.3">
      <c r="A7" s="210"/>
      <c r="B7" s="221" t="s">
        <v>224</v>
      </c>
      <c r="C7" s="227"/>
      <c r="D7" s="228"/>
      <c r="E7" s="224"/>
      <c r="F7" s="228"/>
      <c r="G7" s="224"/>
      <c r="H7" s="228"/>
      <c r="I7" s="224"/>
      <c r="J7" s="228"/>
      <c r="K7" s="224"/>
      <c r="L7" s="228"/>
      <c r="M7" s="224"/>
      <c r="N7" s="228"/>
      <c r="O7" s="224"/>
      <c r="P7" s="228"/>
      <c r="Q7" s="224"/>
      <c r="R7" s="228"/>
      <c r="S7" s="224"/>
      <c r="T7" s="228"/>
      <c r="U7" s="224"/>
      <c r="V7" s="228"/>
      <c r="W7" s="224"/>
      <c r="X7" s="228"/>
      <c r="Y7" s="224"/>
      <c r="Z7" s="228"/>
      <c r="AA7" s="224"/>
      <c r="AB7" s="229">
        <f t="shared" si="0"/>
        <v>0</v>
      </c>
      <c r="AD7" s="220"/>
      <c r="AE7" s="226"/>
      <c r="AF7" s="226"/>
      <c r="AG7" s="226"/>
      <c r="AH7" s="226"/>
      <c r="AI7" s="220"/>
      <c r="AJ7" s="220"/>
    </row>
    <row r="8" spans="1:36" ht="21" customHeight="1" x14ac:dyDescent="0.3">
      <c r="A8" s="210"/>
      <c r="B8" s="221" t="s">
        <v>225</v>
      </c>
      <c r="C8" s="227"/>
      <c r="D8" s="228"/>
      <c r="E8" s="224"/>
      <c r="F8" s="228"/>
      <c r="G8" s="224"/>
      <c r="H8" s="228"/>
      <c r="I8" s="224"/>
      <c r="J8" s="228"/>
      <c r="K8" s="224"/>
      <c r="L8" s="228"/>
      <c r="M8" s="224"/>
      <c r="N8" s="228"/>
      <c r="O8" s="224"/>
      <c r="P8" s="228"/>
      <c r="Q8" s="224"/>
      <c r="R8" s="228"/>
      <c r="S8" s="224"/>
      <c r="T8" s="228"/>
      <c r="U8" s="224"/>
      <c r="V8" s="228"/>
      <c r="W8" s="224"/>
      <c r="X8" s="228"/>
      <c r="Y8" s="224"/>
      <c r="Z8" s="228"/>
      <c r="AA8" s="224"/>
      <c r="AB8" s="229">
        <f t="shared" si="0"/>
        <v>0</v>
      </c>
      <c r="AD8" s="220"/>
      <c r="AE8" s="226"/>
      <c r="AF8" s="226"/>
      <c r="AG8" s="226"/>
      <c r="AH8" s="226"/>
      <c r="AI8" s="220"/>
      <c r="AJ8" s="220"/>
    </row>
    <row r="9" spans="1:36" ht="21" customHeight="1" x14ac:dyDescent="0.3">
      <c r="A9" s="210"/>
      <c r="B9" s="230" t="s">
        <v>226</v>
      </c>
      <c r="C9" s="227"/>
      <c r="D9" s="228"/>
      <c r="E9" s="224"/>
      <c r="F9" s="228"/>
      <c r="G9" s="224"/>
      <c r="H9" s="228"/>
      <c r="I9" s="224"/>
      <c r="J9" s="228"/>
      <c r="K9" s="224"/>
      <c r="L9" s="228"/>
      <c r="M9" s="224"/>
      <c r="N9" s="228"/>
      <c r="O9" s="224"/>
      <c r="P9" s="228"/>
      <c r="Q9" s="224"/>
      <c r="R9" s="228"/>
      <c r="S9" s="224"/>
      <c r="T9" s="228"/>
      <c r="U9" s="224"/>
      <c r="V9" s="228"/>
      <c r="W9" s="224"/>
      <c r="X9" s="228"/>
      <c r="Y9" s="224"/>
      <c r="Z9" s="228"/>
      <c r="AA9" s="224"/>
      <c r="AB9" s="229">
        <f t="shared" si="0"/>
        <v>0</v>
      </c>
      <c r="AD9" s="220"/>
      <c r="AE9" s="226"/>
      <c r="AF9" s="226"/>
      <c r="AG9" s="226"/>
      <c r="AH9" s="226"/>
      <c r="AI9" s="220"/>
      <c r="AJ9" s="220"/>
    </row>
    <row r="10" spans="1:36" ht="21" customHeight="1" x14ac:dyDescent="0.3">
      <c r="A10" s="210"/>
      <c r="B10" s="230" t="s">
        <v>227</v>
      </c>
      <c r="C10" s="227"/>
      <c r="D10" s="228"/>
      <c r="E10" s="224"/>
      <c r="F10" s="228"/>
      <c r="G10" s="224"/>
      <c r="H10" s="228"/>
      <c r="I10" s="224"/>
      <c r="J10" s="228"/>
      <c r="K10" s="224"/>
      <c r="L10" s="228"/>
      <c r="M10" s="224"/>
      <c r="N10" s="228"/>
      <c r="O10" s="224"/>
      <c r="P10" s="228"/>
      <c r="Q10" s="224"/>
      <c r="R10" s="228"/>
      <c r="S10" s="224"/>
      <c r="T10" s="228"/>
      <c r="U10" s="224"/>
      <c r="V10" s="228"/>
      <c r="W10" s="224"/>
      <c r="X10" s="228"/>
      <c r="Y10" s="224"/>
      <c r="Z10" s="228"/>
      <c r="AA10" s="224"/>
      <c r="AB10" s="229">
        <f t="shared" si="0"/>
        <v>0</v>
      </c>
      <c r="AD10" s="220"/>
      <c r="AE10" s="226"/>
      <c r="AF10" s="226"/>
      <c r="AG10" s="226"/>
      <c r="AH10" s="226"/>
      <c r="AI10" s="220"/>
      <c r="AJ10" s="220"/>
    </row>
    <row r="11" spans="1:36" ht="21" customHeight="1" x14ac:dyDescent="0.3">
      <c r="A11" s="210"/>
      <c r="B11" s="230" t="s">
        <v>168</v>
      </c>
      <c r="C11" s="227"/>
      <c r="D11" s="228"/>
      <c r="E11" s="224"/>
      <c r="F11" s="228"/>
      <c r="G11" s="224"/>
      <c r="H11" s="228"/>
      <c r="I11" s="224"/>
      <c r="J11" s="228"/>
      <c r="K11" s="224"/>
      <c r="L11" s="228"/>
      <c r="M11" s="224"/>
      <c r="N11" s="228"/>
      <c r="O11" s="224"/>
      <c r="P11" s="228"/>
      <c r="Q11" s="224"/>
      <c r="R11" s="228"/>
      <c r="S11" s="224"/>
      <c r="T11" s="228"/>
      <c r="U11" s="224"/>
      <c r="V11" s="228"/>
      <c r="W11" s="224"/>
      <c r="X11" s="228"/>
      <c r="Y11" s="224"/>
      <c r="Z11" s="228"/>
      <c r="AA11" s="224"/>
      <c r="AB11" s="229">
        <f t="shared" si="0"/>
        <v>0</v>
      </c>
      <c r="AD11" s="220"/>
      <c r="AE11" s="226"/>
      <c r="AF11" s="226"/>
      <c r="AG11" s="226"/>
      <c r="AH11" s="226"/>
      <c r="AI11" s="220"/>
      <c r="AJ11" s="220"/>
    </row>
    <row r="12" spans="1:36" ht="6" customHeight="1" thickBot="1" x14ac:dyDescent="0.35">
      <c r="A12" s="231"/>
      <c r="B12" s="232"/>
      <c r="C12" s="233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5"/>
      <c r="AD12" s="220"/>
      <c r="AE12" s="226"/>
      <c r="AF12" s="226"/>
      <c r="AG12" s="226"/>
      <c r="AH12" s="226"/>
      <c r="AI12" s="220"/>
      <c r="AJ12" s="220"/>
    </row>
    <row r="13" spans="1:36" ht="21" customHeight="1" x14ac:dyDescent="0.3">
      <c r="A13" s="210" t="s">
        <v>161</v>
      </c>
      <c r="B13" s="236" t="s">
        <v>228</v>
      </c>
      <c r="C13" s="237"/>
      <c r="D13" s="238">
        <f>SUM(D6:D11)</f>
        <v>0</v>
      </c>
      <c r="E13" s="239"/>
      <c r="F13" s="238">
        <f>SUM(F6:F11)</f>
        <v>0</v>
      </c>
      <c r="G13" s="239"/>
      <c r="H13" s="238">
        <f>SUM(H6:H11)</f>
        <v>0</v>
      </c>
      <c r="I13" s="239"/>
      <c r="J13" s="238">
        <f>SUM(J6:J11)</f>
        <v>0</v>
      </c>
      <c r="K13" s="239"/>
      <c r="L13" s="238">
        <f>SUM(L6:L11)</f>
        <v>0</v>
      </c>
      <c r="M13" s="239"/>
      <c r="N13" s="238">
        <f>SUM(N6:N11)</f>
        <v>0</v>
      </c>
      <c r="O13" s="239"/>
      <c r="P13" s="238">
        <f>SUM(P6:P11)</f>
        <v>0</v>
      </c>
      <c r="Q13" s="239"/>
      <c r="R13" s="238">
        <f>SUM(R6:R11)</f>
        <v>0</v>
      </c>
      <c r="S13" s="239"/>
      <c r="T13" s="238">
        <f>SUM(T6:T11)</f>
        <v>0</v>
      </c>
      <c r="U13" s="239"/>
      <c r="V13" s="238">
        <f>SUM(V6:V11)</f>
        <v>0</v>
      </c>
      <c r="W13" s="239"/>
      <c r="X13" s="238">
        <f>SUM(X6:X11)</f>
        <v>0</v>
      </c>
      <c r="Y13" s="239"/>
      <c r="Z13" s="238">
        <f>SUM(Z6:Z11)</f>
        <v>0</v>
      </c>
      <c r="AA13" s="239"/>
      <c r="AB13" s="225">
        <f>SUM(AB6:AB11)</f>
        <v>0</v>
      </c>
      <c r="AD13" s="220"/>
      <c r="AE13" s="220"/>
      <c r="AF13" s="220"/>
      <c r="AG13" s="220"/>
      <c r="AH13" s="220"/>
      <c r="AI13" s="220"/>
      <c r="AJ13" s="220"/>
    </row>
    <row r="14" spans="1:36" ht="9" customHeight="1" x14ac:dyDescent="0.25">
      <c r="A14" s="210"/>
      <c r="B14" s="240"/>
      <c r="C14" s="241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3"/>
      <c r="AD14" s="220"/>
      <c r="AE14" s="220"/>
      <c r="AF14" s="220"/>
      <c r="AG14" s="220"/>
      <c r="AH14" s="220"/>
      <c r="AI14" s="220"/>
      <c r="AJ14" s="220"/>
    </row>
    <row r="15" spans="1:36" ht="20.100000000000001" customHeight="1" thickBot="1" x14ac:dyDescent="0.35">
      <c r="A15" s="244"/>
      <c r="B15" s="216" t="s">
        <v>229</v>
      </c>
      <c r="C15" s="217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6"/>
      <c r="AC15" s="247" t="s">
        <v>230</v>
      </c>
      <c r="AD15" s="220"/>
      <c r="AE15" s="220"/>
      <c r="AF15" s="220"/>
      <c r="AG15" s="220"/>
      <c r="AH15" s="220"/>
      <c r="AI15" s="220"/>
      <c r="AJ15" s="220"/>
    </row>
    <row r="16" spans="1:36" ht="21" customHeight="1" x14ac:dyDescent="0.3">
      <c r="A16" s="210"/>
      <c r="B16" s="221" t="s">
        <v>231</v>
      </c>
      <c r="C16" s="237"/>
      <c r="D16" s="248"/>
      <c r="E16" s="224"/>
      <c r="F16" s="248"/>
      <c r="G16" s="249"/>
      <c r="H16" s="248"/>
      <c r="I16" s="249"/>
      <c r="J16" s="248"/>
      <c r="K16" s="249"/>
      <c r="L16" s="248"/>
      <c r="M16" s="249"/>
      <c r="N16" s="248"/>
      <c r="O16" s="249"/>
      <c r="P16" s="248"/>
      <c r="Q16" s="249"/>
      <c r="R16" s="248"/>
      <c r="S16" s="249"/>
      <c r="T16" s="248"/>
      <c r="U16" s="249"/>
      <c r="V16" s="248"/>
      <c r="W16" s="249"/>
      <c r="X16" s="248"/>
      <c r="Y16" s="249"/>
      <c r="Z16" s="248"/>
      <c r="AA16" s="249"/>
      <c r="AB16" s="250">
        <f t="shared" ref="AB16:AB43" si="1">SUM(D16:Z16)</f>
        <v>0</v>
      </c>
      <c r="AC16" s="251"/>
      <c r="AD16" s="220" t="s">
        <v>232</v>
      </c>
      <c r="AE16" s="226"/>
      <c r="AF16" s="226"/>
      <c r="AG16" s="226"/>
      <c r="AH16" s="226"/>
      <c r="AI16" s="220"/>
      <c r="AJ16" s="220"/>
    </row>
    <row r="17" spans="1:36" ht="21" customHeight="1" x14ac:dyDescent="0.3">
      <c r="A17" s="210"/>
      <c r="B17" s="230" t="s">
        <v>233</v>
      </c>
      <c r="C17" s="237"/>
      <c r="D17" s="228"/>
      <c r="E17" s="224"/>
      <c r="F17" s="228"/>
      <c r="G17" s="224"/>
      <c r="H17" s="228"/>
      <c r="I17" s="224"/>
      <c r="J17" s="228"/>
      <c r="K17" s="224"/>
      <c r="L17" s="228"/>
      <c r="M17" s="224"/>
      <c r="N17" s="228"/>
      <c r="O17" s="224"/>
      <c r="P17" s="228"/>
      <c r="Q17" s="224"/>
      <c r="R17" s="228"/>
      <c r="S17" s="224"/>
      <c r="T17" s="228"/>
      <c r="U17" s="224"/>
      <c r="V17" s="228"/>
      <c r="W17" s="224"/>
      <c r="X17" s="228"/>
      <c r="Y17" s="224"/>
      <c r="Z17" s="228"/>
      <c r="AA17" s="224"/>
      <c r="AB17" s="229">
        <f t="shared" si="1"/>
        <v>0</v>
      </c>
      <c r="AC17" s="251"/>
      <c r="AD17" s="220"/>
      <c r="AE17" s="226"/>
      <c r="AF17" s="226"/>
      <c r="AG17" s="226"/>
      <c r="AH17" s="226"/>
      <c r="AI17" s="220"/>
      <c r="AJ17" s="220"/>
    </row>
    <row r="18" spans="1:36" ht="21" customHeight="1" x14ac:dyDescent="0.3">
      <c r="A18" s="210"/>
      <c r="B18" s="230" t="s">
        <v>234</v>
      </c>
      <c r="C18" s="237"/>
      <c r="D18" s="228"/>
      <c r="E18" s="224"/>
      <c r="F18" s="228"/>
      <c r="G18" s="224"/>
      <c r="H18" s="228"/>
      <c r="I18" s="224"/>
      <c r="J18" s="228"/>
      <c r="K18" s="224"/>
      <c r="L18" s="228"/>
      <c r="M18" s="224"/>
      <c r="N18" s="228"/>
      <c r="O18" s="224"/>
      <c r="P18" s="228"/>
      <c r="Q18" s="224"/>
      <c r="R18" s="228"/>
      <c r="S18" s="224"/>
      <c r="T18" s="228"/>
      <c r="U18" s="224"/>
      <c r="V18" s="228"/>
      <c r="W18" s="224"/>
      <c r="X18" s="228"/>
      <c r="Y18" s="224"/>
      <c r="Z18" s="228"/>
      <c r="AA18" s="224"/>
      <c r="AB18" s="229">
        <f t="shared" si="1"/>
        <v>0</v>
      </c>
      <c r="AC18" s="251"/>
      <c r="AD18" s="220"/>
      <c r="AE18" s="226"/>
      <c r="AF18" s="226"/>
      <c r="AG18" s="226"/>
      <c r="AH18" s="226"/>
      <c r="AI18" s="220"/>
      <c r="AJ18" s="220"/>
    </row>
    <row r="19" spans="1:36" ht="21" customHeight="1" x14ac:dyDescent="0.3">
      <c r="A19" s="210"/>
      <c r="B19" s="230" t="s">
        <v>235</v>
      </c>
      <c r="C19" s="237"/>
      <c r="D19" s="228"/>
      <c r="E19" s="224"/>
      <c r="F19" s="228"/>
      <c r="G19" s="224"/>
      <c r="H19" s="228"/>
      <c r="I19" s="224"/>
      <c r="J19" s="228"/>
      <c r="K19" s="224"/>
      <c r="L19" s="228"/>
      <c r="M19" s="224"/>
      <c r="N19" s="228"/>
      <c r="O19" s="224"/>
      <c r="P19" s="228"/>
      <c r="Q19" s="224"/>
      <c r="R19" s="228"/>
      <c r="S19" s="224"/>
      <c r="T19" s="228"/>
      <c r="U19" s="224"/>
      <c r="V19" s="228"/>
      <c r="W19" s="224"/>
      <c r="X19" s="228"/>
      <c r="Y19" s="224"/>
      <c r="Z19" s="228"/>
      <c r="AA19" s="224"/>
      <c r="AB19" s="229">
        <f t="shared" si="1"/>
        <v>0</v>
      </c>
      <c r="AC19" s="251"/>
      <c r="AD19" s="220"/>
      <c r="AE19" s="226"/>
      <c r="AF19" s="226"/>
      <c r="AG19" s="226"/>
      <c r="AH19" s="226"/>
      <c r="AI19" s="220"/>
      <c r="AJ19" s="220"/>
    </row>
    <row r="20" spans="1:36" ht="21" customHeight="1" x14ac:dyDescent="0.3">
      <c r="A20" s="210"/>
      <c r="B20" s="230" t="s">
        <v>236</v>
      </c>
      <c r="C20" s="237"/>
      <c r="D20" s="228"/>
      <c r="E20" s="224"/>
      <c r="F20" s="228"/>
      <c r="G20" s="224"/>
      <c r="H20" s="228"/>
      <c r="I20" s="224"/>
      <c r="J20" s="228"/>
      <c r="K20" s="224"/>
      <c r="L20" s="228"/>
      <c r="M20" s="224"/>
      <c r="N20" s="228"/>
      <c r="O20" s="224"/>
      <c r="P20" s="228"/>
      <c r="Q20" s="224"/>
      <c r="R20" s="228"/>
      <c r="S20" s="224"/>
      <c r="T20" s="228"/>
      <c r="U20" s="224"/>
      <c r="V20" s="228"/>
      <c r="W20" s="224"/>
      <c r="X20" s="228"/>
      <c r="Y20" s="224"/>
      <c r="Z20" s="228"/>
      <c r="AA20" s="224"/>
      <c r="AB20" s="229">
        <f t="shared" si="1"/>
        <v>0</v>
      </c>
      <c r="AC20" s="251"/>
      <c r="AD20" s="220"/>
      <c r="AE20" s="226"/>
      <c r="AF20" s="252"/>
      <c r="AG20" s="226"/>
      <c r="AH20" s="226"/>
      <c r="AI20" s="220"/>
      <c r="AJ20" s="220"/>
    </row>
    <row r="21" spans="1:36" ht="21" customHeight="1" x14ac:dyDescent="0.3">
      <c r="A21" s="210"/>
      <c r="B21" s="230" t="s">
        <v>237</v>
      </c>
      <c r="C21" s="237"/>
      <c r="D21" s="228"/>
      <c r="E21" s="224"/>
      <c r="F21" s="228"/>
      <c r="G21" s="224"/>
      <c r="H21" s="228"/>
      <c r="I21" s="224"/>
      <c r="J21" s="228"/>
      <c r="K21" s="224"/>
      <c r="L21" s="228"/>
      <c r="M21" s="224"/>
      <c r="N21" s="228"/>
      <c r="O21" s="224"/>
      <c r="P21" s="228"/>
      <c r="Q21" s="224"/>
      <c r="R21" s="228"/>
      <c r="S21" s="224"/>
      <c r="T21" s="228"/>
      <c r="U21" s="224"/>
      <c r="V21" s="228"/>
      <c r="W21" s="224"/>
      <c r="X21" s="228"/>
      <c r="Y21" s="224"/>
      <c r="Z21" s="228"/>
      <c r="AA21" s="224"/>
      <c r="AB21" s="229">
        <f t="shared" si="1"/>
        <v>0</v>
      </c>
      <c r="AC21" s="251"/>
      <c r="AD21" s="220"/>
      <c r="AE21" s="226"/>
      <c r="AF21" s="252"/>
      <c r="AG21" s="253"/>
      <c r="AH21" s="226"/>
      <c r="AI21" s="220"/>
      <c r="AJ21" s="220"/>
    </row>
    <row r="22" spans="1:36" ht="21" customHeight="1" x14ac:dyDescent="0.3">
      <c r="A22" s="210"/>
      <c r="B22" s="230" t="s">
        <v>238</v>
      </c>
      <c r="C22" s="237"/>
      <c r="D22" s="228"/>
      <c r="E22" s="224"/>
      <c r="F22" s="228"/>
      <c r="G22" s="224"/>
      <c r="H22" s="228"/>
      <c r="I22" s="224"/>
      <c r="J22" s="228"/>
      <c r="K22" s="224"/>
      <c r="L22" s="228"/>
      <c r="M22" s="224"/>
      <c r="N22" s="228"/>
      <c r="O22" s="224"/>
      <c r="P22" s="228"/>
      <c r="Q22" s="224"/>
      <c r="R22" s="228"/>
      <c r="S22" s="224"/>
      <c r="T22" s="228"/>
      <c r="U22" s="224"/>
      <c r="V22" s="228"/>
      <c r="W22" s="224"/>
      <c r="X22" s="228"/>
      <c r="Y22" s="224"/>
      <c r="Z22" s="228"/>
      <c r="AA22" s="224"/>
      <c r="AB22" s="229">
        <f t="shared" si="1"/>
        <v>0</v>
      </c>
      <c r="AC22" s="251"/>
      <c r="AD22" s="220"/>
      <c r="AE22" s="226"/>
      <c r="AF22" s="252"/>
      <c r="AG22" s="253"/>
      <c r="AH22" s="226"/>
      <c r="AI22" s="220"/>
      <c r="AJ22" s="220"/>
    </row>
    <row r="23" spans="1:36" ht="21" customHeight="1" x14ac:dyDescent="0.3">
      <c r="A23" s="210"/>
      <c r="B23" s="230" t="s">
        <v>239</v>
      </c>
      <c r="C23" s="237"/>
      <c r="D23" s="228"/>
      <c r="E23" s="224"/>
      <c r="F23" s="228"/>
      <c r="G23" s="224"/>
      <c r="H23" s="228"/>
      <c r="I23" s="224"/>
      <c r="J23" s="228"/>
      <c r="K23" s="224"/>
      <c r="L23" s="228"/>
      <c r="M23" s="224"/>
      <c r="N23" s="228"/>
      <c r="O23" s="224"/>
      <c r="P23" s="228"/>
      <c r="Q23" s="224"/>
      <c r="R23" s="228"/>
      <c r="S23" s="224"/>
      <c r="T23" s="228"/>
      <c r="U23" s="224"/>
      <c r="V23" s="228"/>
      <c r="W23" s="224"/>
      <c r="X23" s="228"/>
      <c r="Y23" s="224"/>
      <c r="Z23" s="228"/>
      <c r="AA23" s="224"/>
      <c r="AB23" s="229">
        <f t="shared" si="1"/>
        <v>0</v>
      </c>
      <c r="AC23" s="251"/>
      <c r="AD23" s="220"/>
      <c r="AE23" s="226"/>
      <c r="AF23" s="252"/>
      <c r="AG23" s="253"/>
      <c r="AH23" s="226"/>
      <c r="AI23" s="220"/>
      <c r="AJ23" s="220"/>
    </row>
    <row r="24" spans="1:36" ht="21" customHeight="1" x14ac:dyDescent="0.3">
      <c r="A24" s="210"/>
      <c r="B24" s="230" t="s">
        <v>240</v>
      </c>
      <c r="C24" s="237"/>
      <c r="D24" s="228"/>
      <c r="E24" s="224"/>
      <c r="F24" s="228"/>
      <c r="G24" s="224"/>
      <c r="H24" s="228"/>
      <c r="I24" s="224"/>
      <c r="J24" s="228"/>
      <c r="K24" s="224"/>
      <c r="L24" s="228"/>
      <c r="M24" s="224"/>
      <c r="N24" s="228"/>
      <c r="O24" s="224"/>
      <c r="P24" s="228"/>
      <c r="Q24" s="224"/>
      <c r="R24" s="228"/>
      <c r="S24" s="224"/>
      <c r="T24" s="228"/>
      <c r="U24" s="224"/>
      <c r="V24" s="228"/>
      <c r="W24" s="224"/>
      <c r="X24" s="228"/>
      <c r="Y24" s="224"/>
      <c r="Z24" s="228"/>
      <c r="AA24" s="224"/>
      <c r="AB24" s="229">
        <f t="shared" si="1"/>
        <v>0</v>
      </c>
      <c r="AC24" s="251"/>
      <c r="AD24" s="220"/>
      <c r="AE24" s="226"/>
      <c r="AF24" s="252"/>
      <c r="AG24" s="253"/>
      <c r="AH24" s="226"/>
      <c r="AI24" s="220"/>
      <c r="AJ24" s="220"/>
    </row>
    <row r="25" spans="1:36" ht="21" customHeight="1" x14ac:dyDescent="0.3">
      <c r="A25" s="210"/>
      <c r="B25" s="230" t="s">
        <v>2</v>
      </c>
      <c r="C25" s="237"/>
      <c r="D25" s="228"/>
      <c r="E25" s="224"/>
      <c r="F25" s="228"/>
      <c r="G25" s="224"/>
      <c r="H25" s="228"/>
      <c r="I25" s="224"/>
      <c r="J25" s="228"/>
      <c r="K25" s="224"/>
      <c r="L25" s="228"/>
      <c r="M25" s="224"/>
      <c r="N25" s="228"/>
      <c r="O25" s="224"/>
      <c r="P25" s="228"/>
      <c r="Q25" s="224"/>
      <c r="R25" s="228"/>
      <c r="S25" s="224"/>
      <c r="T25" s="228"/>
      <c r="U25" s="224"/>
      <c r="V25" s="228"/>
      <c r="W25" s="224"/>
      <c r="X25" s="228"/>
      <c r="Y25" s="224"/>
      <c r="Z25" s="228"/>
      <c r="AA25" s="224"/>
      <c r="AB25" s="229">
        <f t="shared" si="1"/>
        <v>0</v>
      </c>
      <c r="AC25" s="251"/>
      <c r="AD25" s="220"/>
      <c r="AE25" s="226"/>
      <c r="AF25" s="252"/>
      <c r="AG25" s="253"/>
      <c r="AH25" s="226"/>
      <c r="AI25" s="220"/>
      <c r="AJ25" s="220"/>
    </row>
    <row r="26" spans="1:36" ht="21" customHeight="1" x14ac:dyDescent="0.3">
      <c r="A26" s="210"/>
      <c r="B26" s="230" t="s">
        <v>241</v>
      </c>
      <c r="C26" s="237"/>
      <c r="D26" s="228"/>
      <c r="E26" s="224"/>
      <c r="F26" s="228"/>
      <c r="G26" s="224"/>
      <c r="H26" s="228"/>
      <c r="I26" s="224"/>
      <c r="J26" s="228"/>
      <c r="K26" s="224"/>
      <c r="L26" s="228"/>
      <c r="M26" s="224"/>
      <c r="N26" s="228"/>
      <c r="O26" s="224"/>
      <c r="P26" s="228"/>
      <c r="Q26" s="224"/>
      <c r="R26" s="228"/>
      <c r="S26" s="224"/>
      <c r="T26" s="228"/>
      <c r="U26" s="224"/>
      <c r="V26" s="228"/>
      <c r="W26" s="224"/>
      <c r="X26" s="228"/>
      <c r="Y26" s="224"/>
      <c r="Z26" s="228"/>
      <c r="AA26" s="224"/>
      <c r="AB26" s="229">
        <f t="shared" si="1"/>
        <v>0</v>
      </c>
      <c r="AC26" s="251"/>
      <c r="AD26" s="220"/>
      <c r="AE26" s="226"/>
      <c r="AF26" s="254"/>
      <c r="AG26" s="253"/>
      <c r="AH26" s="226"/>
      <c r="AI26" s="220"/>
      <c r="AJ26" s="220"/>
    </row>
    <row r="27" spans="1:36" ht="21" customHeight="1" x14ac:dyDescent="0.3">
      <c r="A27" s="210"/>
      <c r="B27" s="230" t="s">
        <v>242</v>
      </c>
      <c r="C27" s="237"/>
      <c r="D27" s="228"/>
      <c r="E27" s="224"/>
      <c r="F27" s="228"/>
      <c r="G27" s="224"/>
      <c r="H27" s="228"/>
      <c r="I27" s="224"/>
      <c r="J27" s="228"/>
      <c r="K27" s="224"/>
      <c r="L27" s="228"/>
      <c r="M27" s="224"/>
      <c r="N27" s="228"/>
      <c r="O27" s="224"/>
      <c r="P27" s="228"/>
      <c r="Q27" s="224"/>
      <c r="R27" s="228"/>
      <c r="S27" s="224"/>
      <c r="T27" s="228"/>
      <c r="U27" s="224"/>
      <c r="V27" s="228"/>
      <c r="W27" s="224"/>
      <c r="X27" s="228"/>
      <c r="Y27" s="224"/>
      <c r="Z27" s="228"/>
      <c r="AA27" s="224"/>
      <c r="AB27" s="229">
        <f t="shared" si="1"/>
        <v>0</v>
      </c>
      <c r="AC27" s="251"/>
      <c r="AD27" s="220"/>
      <c r="AE27" s="226"/>
      <c r="AF27" s="226"/>
      <c r="AG27" s="226"/>
      <c r="AH27" s="226"/>
      <c r="AI27" s="220"/>
      <c r="AJ27" s="220"/>
    </row>
    <row r="28" spans="1:36" ht="21" customHeight="1" x14ac:dyDescent="0.3">
      <c r="A28" s="210"/>
      <c r="B28" s="230" t="s">
        <v>243</v>
      </c>
      <c r="C28" s="237"/>
      <c r="D28" s="228"/>
      <c r="E28" s="224"/>
      <c r="F28" s="228"/>
      <c r="G28" s="224"/>
      <c r="H28" s="228"/>
      <c r="I28" s="224"/>
      <c r="J28" s="228"/>
      <c r="K28" s="224"/>
      <c r="L28" s="228"/>
      <c r="M28" s="224"/>
      <c r="N28" s="228"/>
      <c r="O28" s="224"/>
      <c r="P28" s="228"/>
      <c r="Q28" s="224"/>
      <c r="R28" s="228"/>
      <c r="S28" s="224"/>
      <c r="T28" s="228"/>
      <c r="U28" s="224"/>
      <c r="V28" s="228"/>
      <c r="W28" s="224"/>
      <c r="X28" s="228"/>
      <c r="Y28" s="224"/>
      <c r="Z28" s="228"/>
      <c r="AA28" s="224"/>
      <c r="AB28" s="229">
        <f t="shared" si="1"/>
        <v>0</v>
      </c>
      <c r="AC28" s="251"/>
      <c r="AD28" s="220"/>
      <c r="AE28" s="226"/>
      <c r="AF28" s="226"/>
      <c r="AG28" s="226"/>
      <c r="AH28" s="226"/>
      <c r="AI28" s="220"/>
      <c r="AJ28" s="220"/>
    </row>
    <row r="29" spans="1:36" ht="21" customHeight="1" x14ac:dyDescent="0.3">
      <c r="A29" s="210"/>
      <c r="B29" s="230" t="s">
        <v>244</v>
      </c>
      <c r="C29" s="237"/>
      <c r="D29" s="228"/>
      <c r="E29" s="224"/>
      <c r="F29" s="228"/>
      <c r="G29" s="224"/>
      <c r="H29" s="228"/>
      <c r="I29" s="224"/>
      <c r="J29" s="228"/>
      <c r="K29" s="224"/>
      <c r="L29" s="228"/>
      <c r="M29" s="224"/>
      <c r="N29" s="228"/>
      <c r="O29" s="224"/>
      <c r="P29" s="228"/>
      <c r="Q29" s="224"/>
      <c r="R29" s="228"/>
      <c r="S29" s="224"/>
      <c r="T29" s="228"/>
      <c r="U29" s="224"/>
      <c r="V29" s="228"/>
      <c r="W29" s="224"/>
      <c r="X29" s="228"/>
      <c r="Y29" s="224"/>
      <c r="Z29" s="228"/>
      <c r="AA29" s="224"/>
      <c r="AB29" s="229">
        <f t="shared" si="1"/>
        <v>0</v>
      </c>
      <c r="AC29" s="251"/>
      <c r="AD29" s="220"/>
      <c r="AE29" s="226"/>
      <c r="AF29" s="252"/>
      <c r="AG29" s="253"/>
      <c r="AH29" s="226"/>
      <c r="AI29" s="220"/>
      <c r="AJ29" s="220"/>
    </row>
    <row r="30" spans="1:36" ht="21" customHeight="1" x14ac:dyDescent="0.3">
      <c r="A30" s="210"/>
      <c r="B30" s="230" t="s">
        <v>1</v>
      </c>
      <c r="C30" s="237"/>
      <c r="D30" s="228"/>
      <c r="E30" s="224"/>
      <c r="F30" s="228"/>
      <c r="G30" s="224"/>
      <c r="H30" s="228"/>
      <c r="I30" s="224"/>
      <c r="J30" s="228"/>
      <c r="K30" s="224"/>
      <c r="L30" s="228"/>
      <c r="M30" s="224"/>
      <c r="N30" s="228"/>
      <c r="O30" s="224"/>
      <c r="P30" s="228"/>
      <c r="Q30" s="224"/>
      <c r="R30" s="228"/>
      <c r="S30" s="224"/>
      <c r="T30" s="228"/>
      <c r="U30" s="224"/>
      <c r="V30" s="228"/>
      <c r="W30" s="224"/>
      <c r="X30" s="228"/>
      <c r="Y30" s="224"/>
      <c r="Z30" s="228"/>
      <c r="AA30" s="224"/>
      <c r="AB30" s="229">
        <f t="shared" si="1"/>
        <v>0</v>
      </c>
      <c r="AC30" s="251"/>
      <c r="AD30" s="220"/>
      <c r="AE30" s="226"/>
      <c r="AF30" s="226"/>
      <c r="AG30" s="226"/>
      <c r="AH30" s="226"/>
      <c r="AI30" s="220"/>
      <c r="AJ30" s="220"/>
    </row>
    <row r="31" spans="1:36" ht="21" customHeight="1" x14ac:dyDescent="0.3">
      <c r="A31" s="210"/>
      <c r="B31" s="230" t="s">
        <v>245</v>
      </c>
      <c r="C31" s="237"/>
      <c r="D31" s="228"/>
      <c r="E31" s="224"/>
      <c r="F31" s="228"/>
      <c r="G31" s="224"/>
      <c r="H31" s="228"/>
      <c r="I31" s="224"/>
      <c r="J31" s="228"/>
      <c r="K31" s="224"/>
      <c r="L31" s="228"/>
      <c r="M31" s="224"/>
      <c r="N31" s="228"/>
      <c r="O31" s="224"/>
      <c r="P31" s="228"/>
      <c r="Q31" s="224"/>
      <c r="R31" s="228"/>
      <c r="S31" s="224"/>
      <c r="T31" s="228"/>
      <c r="U31" s="224"/>
      <c r="V31" s="228"/>
      <c r="W31" s="224"/>
      <c r="X31" s="228"/>
      <c r="Y31" s="224"/>
      <c r="Z31" s="228"/>
      <c r="AA31" s="224"/>
      <c r="AB31" s="229">
        <f t="shared" si="1"/>
        <v>0</v>
      </c>
      <c r="AC31" s="251"/>
      <c r="AD31" s="220"/>
      <c r="AE31" s="226"/>
      <c r="AF31" s="226"/>
      <c r="AG31" s="255"/>
      <c r="AH31" s="226"/>
      <c r="AI31" s="220"/>
      <c r="AJ31" s="220"/>
    </row>
    <row r="32" spans="1:36" ht="21" customHeight="1" x14ac:dyDescent="0.3">
      <c r="A32" s="210"/>
      <c r="B32" s="230" t="s">
        <v>246</v>
      </c>
      <c r="C32" s="237"/>
      <c r="D32" s="228"/>
      <c r="E32" s="224"/>
      <c r="F32" s="228"/>
      <c r="G32" s="224"/>
      <c r="H32" s="228"/>
      <c r="I32" s="224"/>
      <c r="J32" s="228"/>
      <c r="K32" s="224"/>
      <c r="L32" s="228"/>
      <c r="M32" s="224"/>
      <c r="N32" s="228"/>
      <c r="O32" s="224"/>
      <c r="P32" s="228"/>
      <c r="Q32" s="224"/>
      <c r="R32" s="228"/>
      <c r="S32" s="224"/>
      <c r="T32" s="228"/>
      <c r="U32" s="224"/>
      <c r="V32" s="228"/>
      <c r="W32" s="224"/>
      <c r="X32" s="228"/>
      <c r="Y32" s="224"/>
      <c r="Z32" s="228"/>
      <c r="AA32" s="224"/>
      <c r="AB32" s="229">
        <f t="shared" si="1"/>
        <v>0</v>
      </c>
      <c r="AC32" s="251"/>
      <c r="AD32" s="220"/>
      <c r="AE32" s="226"/>
      <c r="AF32" s="226"/>
      <c r="AG32" s="226"/>
      <c r="AH32" s="226"/>
      <c r="AI32" s="220"/>
      <c r="AJ32" s="220"/>
    </row>
    <row r="33" spans="1:36" ht="21" customHeight="1" x14ac:dyDescent="0.3">
      <c r="A33" s="210"/>
      <c r="B33" s="230" t="s">
        <v>247</v>
      </c>
      <c r="C33" s="237"/>
      <c r="D33" s="228"/>
      <c r="E33" s="224"/>
      <c r="F33" s="228"/>
      <c r="G33" s="224"/>
      <c r="H33" s="228"/>
      <c r="I33" s="224"/>
      <c r="J33" s="228"/>
      <c r="K33" s="224"/>
      <c r="L33" s="228"/>
      <c r="M33" s="224"/>
      <c r="N33" s="228"/>
      <c r="O33" s="224"/>
      <c r="P33" s="228"/>
      <c r="Q33" s="224"/>
      <c r="R33" s="228"/>
      <c r="S33" s="224"/>
      <c r="T33" s="228"/>
      <c r="U33" s="224"/>
      <c r="V33" s="228"/>
      <c r="W33" s="224"/>
      <c r="X33" s="228"/>
      <c r="Y33" s="224"/>
      <c r="Z33" s="228"/>
      <c r="AA33" s="224"/>
      <c r="AB33" s="229">
        <f t="shared" si="1"/>
        <v>0</v>
      </c>
      <c r="AC33" s="251"/>
      <c r="AD33" s="220"/>
      <c r="AE33" s="226"/>
      <c r="AF33" s="226"/>
      <c r="AG33" s="226"/>
      <c r="AH33" s="226"/>
      <c r="AI33" s="220"/>
      <c r="AJ33" s="220"/>
    </row>
    <row r="34" spans="1:36" ht="21" customHeight="1" x14ac:dyDescent="0.3">
      <c r="A34" s="210"/>
      <c r="B34" s="230" t="s">
        <v>248</v>
      </c>
      <c r="C34" s="237"/>
      <c r="D34" s="228"/>
      <c r="E34" s="224"/>
      <c r="F34" s="228"/>
      <c r="G34" s="224"/>
      <c r="H34" s="228"/>
      <c r="I34" s="224"/>
      <c r="J34" s="228"/>
      <c r="K34" s="224"/>
      <c r="L34" s="228"/>
      <c r="M34" s="224"/>
      <c r="N34" s="228"/>
      <c r="O34" s="224"/>
      <c r="P34" s="228"/>
      <c r="Q34" s="224"/>
      <c r="R34" s="228"/>
      <c r="S34" s="224"/>
      <c r="T34" s="228"/>
      <c r="U34" s="224"/>
      <c r="V34" s="228"/>
      <c r="W34" s="224"/>
      <c r="X34" s="228"/>
      <c r="Y34" s="224"/>
      <c r="Z34" s="228"/>
      <c r="AA34" s="224"/>
      <c r="AB34" s="229">
        <f t="shared" si="1"/>
        <v>0</v>
      </c>
      <c r="AC34" s="251"/>
      <c r="AD34" s="220"/>
      <c r="AE34" s="226"/>
      <c r="AF34" s="226"/>
      <c r="AG34" s="226"/>
      <c r="AH34" s="226"/>
      <c r="AI34" s="220"/>
      <c r="AJ34" s="220"/>
    </row>
    <row r="35" spans="1:36" ht="21" customHeight="1" x14ac:dyDescent="0.3">
      <c r="A35" s="210"/>
      <c r="B35" s="230" t="s">
        <v>249</v>
      </c>
      <c r="C35" s="237"/>
      <c r="D35" s="228"/>
      <c r="E35" s="224"/>
      <c r="F35" s="228"/>
      <c r="G35" s="224"/>
      <c r="H35" s="228"/>
      <c r="I35" s="224"/>
      <c r="J35" s="228"/>
      <c r="K35" s="224"/>
      <c r="L35" s="228"/>
      <c r="M35" s="224"/>
      <c r="N35" s="228"/>
      <c r="O35" s="224"/>
      <c r="P35" s="228"/>
      <c r="Q35" s="224"/>
      <c r="R35" s="228"/>
      <c r="S35" s="224"/>
      <c r="T35" s="228"/>
      <c r="U35" s="224"/>
      <c r="V35" s="228"/>
      <c r="W35" s="224"/>
      <c r="X35" s="228"/>
      <c r="Y35" s="224"/>
      <c r="Z35" s="228"/>
      <c r="AA35" s="224"/>
      <c r="AB35" s="229">
        <f t="shared" si="1"/>
        <v>0</v>
      </c>
      <c r="AC35" s="251"/>
      <c r="AD35" s="220"/>
      <c r="AE35" s="226"/>
      <c r="AF35" s="226"/>
      <c r="AG35" s="226"/>
      <c r="AH35" s="226"/>
      <c r="AI35" s="220"/>
      <c r="AJ35" s="220"/>
    </row>
    <row r="36" spans="1:36" ht="21" customHeight="1" x14ac:dyDescent="0.3">
      <c r="A36" s="210"/>
      <c r="B36" s="230" t="s">
        <v>250</v>
      </c>
      <c r="C36" s="237"/>
      <c r="D36" s="228"/>
      <c r="E36" s="224"/>
      <c r="F36" s="228"/>
      <c r="G36" s="224"/>
      <c r="H36" s="228"/>
      <c r="I36" s="224"/>
      <c r="J36" s="228"/>
      <c r="K36" s="224"/>
      <c r="L36" s="228"/>
      <c r="M36" s="224"/>
      <c r="N36" s="228"/>
      <c r="O36" s="224"/>
      <c r="P36" s="228"/>
      <c r="Q36" s="224"/>
      <c r="R36" s="228"/>
      <c r="S36" s="224"/>
      <c r="T36" s="228"/>
      <c r="U36" s="224"/>
      <c r="V36" s="228"/>
      <c r="W36" s="224"/>
      <c r="X36" s="228"/>
      <c r="Y36" s="224"/>
      <c r="Z36" s="228"/>
      <c r="AA36" s="224"/>
      <c r="AB36" s="229">
        <f t="shared" si="1"/>
        <v>0</v>
      </c>
      <c r="AD36" s="220"/>
      <c r="AE36" s="226"/>
      <c r="AF36" s="226"/>
      <c r="AG36" s="226"/>
      <c r="AH36" s="226"/>
      <c r="AI36" s="220"/>
      <c r="AJ36" s="220"/>
    </row>
    <row r="37" spans="1:36" ht="21" customHeight="1" x14ac:dyDescent="0.3">
      <c r="A37" s="210"/>
      <c r="B37" s="230" t="s">
        <v>0</v>
      </c>
      <c r="C37" s="237"/>
      <c r="D37" s="228"/>
      <c r="E37" s="224"/>
      <c r="F37" s="228"/>
      <c r="G37" s="224"/>
      <c r="H37" s="228"/>
      <c r="I37" s="224"/>
      <c r="J37" s="228"/>
      <c r="K37" s="224"/>
      <c r="L37" s="228"/>
      <c r="M37" s="224"/>
      <c r="N37" s="228"/>
      <c r="O37" s="224"/>
      <c r="P37" s="228"/>
      <c r="Q37" s="224"/>
      <c r="R37" s="228"/>
      <c r="S37" s="224"/>
      <c r="T37" s="228"/>
      <c r="U37" s="224"/>
      <c r="V37" s="228"/>
      <c r="W37" s="224"/>
      <c r="X37" s="228"/>
      <c r="Y37" s="224"/>
      <c r="Z37" s="228"/>
      <c r="AA37" s="224"/>
      <c r="AB37" s="229">
        <f t="shared" si="1"/>
        <v>0</v>
      </c>
      <c r="AD37" s="220"/>
      <c r="AE37" s="226"/>
      <c r="AF37" s="226"/>
      <c r="AG37" s="226"/>
      <c r="AH37" s="226"/>
      <c r="AI37" s="220"/>
      <c r="AJ37" s="220"/>
    </row>
    <row r="38" spans="1:36" ht="21" customHeight="1" x14ac:dyDescent="0.3">
      <c r="A38" s="210"/>
      <c r="B38" s="230" t="s">
        <v>251</v>
      </c>
      <c r="C38" s="237"/>
      <c r="D38" s="228"/>
      <c r="E38" s="224"/>
      <c r="F38" s="256"/>
      <c r="G38" s="224"/>
      <c r="H38" s="256"/>
      <c r="I38" s="224"/>
      <c r="J38" s="256"/>
      <c r="K38" s="224"/>
      <c r="L38" s="256"/>
      <c r="M38" s="224"/>
      <c r="N38" s="256"/>
      <c r="O38" s="224"/>
      <c r="P38" s="256"/>
      <c r="Q38" s="224"/>
      <c r="R38" s="256"/>
      <c r="S38" s="224"/>
      <c r="T38" s="256"/>
      <c r="U38" s="224"/>
      <c r="V38" s="256"/>
      <c r="W38" s="224"/>
      <c r="X38" s="256"/>
      <c r="Y38" s="224"/>
      <c r="Z38" s="256"/>
      <c r="AA38" s="224"/>
      <c r="AB38" s="229">
        <f t="shared" si="1"/>
        <v>0</v>
      </c>
      <c r="AD38" s="220"/>
      <c r="AE38" s="226"/>
      <c r="AF38" s="226"/>
      <c r="AG38" s="226"/>
      <c r="AH38" s="226"/>
      <c r="AI38" s="220"/>
      <c r="AJ38" s="220"/>
    </row>
    <row r="39" spans="1:36" ht="21" customHeight="1" x14ac:dyDescent="0.3">
      <c r="A39" s="210"/>
      <c r="B39" s="230" t="s">
        <v>252</v>
      </c>
      <c r="C39" s="237"/>
      <c r="D39" s="228"/>
      <c r="E39" s="224"/>
      <c r="F39" s="228"/>
      <c r="G39" s="224"/>
      <c r="H39" s="228"/>
      <c r="I39" s="224"/>
      <c r="J39" s="228"/>
      <c r="K39" s="224"/>
      <c r="L39" s="228"/>
      <c r="M39" s="224"/>
      <c r="N39" s="228"/>
      <c r="O39" s="224"/>
      <c r="P39" s="228"/>
      <c r="Q39" s="224"/>
      <c r="R39" s="228"/>
      <c r="S39" s="224"/>
      <c r="T39" s="228"/>
      <c r="U39" s="224"/>
      <c r="V39" s="228"/>
      <c r="W39" s="224"/>
      <c r="X39" s="228"/>
      <c r="Y39" s="224"/>
      <c r="Z39" s="228"/>
      <c r="AA39" s="224"/>
      <c r="AB39" s="229">
        <f t="shared" si="1"/>
        <v>0</v>
      </c>
      <c r="AD39" s="220"/>
      <c r="AE39" s="226"/>
      <c r="AF39" s="226"/>
      <c r="AG39" s="226"/>
      <c r="AH39" s="226"/>
      <c r="AI39" s="220"/>
      <c r="AJ39" s="220"/>
    </row>
    <row r="40" spans="1:36" ht="21" customHeight="1" x14ac:dyDescent="0.3">
      <c r="A40" s="210"/>
      <c r="B40" s="230" t="s">
        <v>253</v>
      </c>
      <c r="C40" s="237"/>
      <c r="D40" s="257"/>
      <c r="E40" s="224"/>
      <c r="F40" s="257"/>
      <c r="G40" s="224"/>
      <c r="H40" s="257"/>
      <c r="I40" s="224"/>
      <c r="J40" s="257"/>
      <c r="K40" s="224"/>
      <c r="L40" s="257"/>
      <c r="M40" s="224"/>
      <c r="N40" s="257"/>
      <c r="O40" s="224"/>
      <c r="P40" s="257"/>
      <c r="Q40" s="224"/>
      <c r="R40" s="257"/>
      <c r="S40" s="224"/>
      <c r="T40" s="257"/>
      <c r="U40" s="224"/>
      <c r="V40" s="257"/>
      <c r="W40" s="224"/>
      <c r="X40" s="257"/>
      <c r="Y40" s="224"/>
      <c r="Z40" s="257"/>
      <c r="AA40" s="224"/>
      <c r="AB40" s="229">
        <f t="shared" si="1"/>
        <v>0</v>
      </c>
      <c r="AC40" s="251"/>
      <c r="AD40" s="220"/>
      <c r="AE40" s="220"/>
      <c r="AF40" s="220"/>
      <c r="AG40" s="220"/>
      <c r="AH40" s="220"/>
      <c r="AI40" s="220"/>
      <c r="AJ40" s="220"/>
    </row>
    <row r="41" spans="1:36" ht="21" customHeight="1" x14ac:dyDescent="0.3">
      <c r="A41" s="210"/>
      <c r="B41" s="230" t="s">
        <v>254</v>
      </c>
      <c r="C41" s="237"/>
      <c r="D41" s="257"/>
      <c r="E41" s="224"/>
      <c r="F41" s="257"/>
      <c r="G41" s="224"/>
      <c r="H41" s="257"/>
      <c r="I41" s="224"/>
      <c r="J41" s="257"/>
      <c r="K41" s="224"/>
      <c r="L41" s="257"/>
      <c r="M41" s="224"/>
      <c r="N41" s="257"/>
      <c r="O41" s="224"/>
      <c r="P41" s="257"/>
      <c r="Q41" s="224"/>
      <c r="R41" s="257"/>
      <c r="S41" s="224"/>
      <c r="T41" s="257"/>
      <c r="U41" s="224"/>
      <c r="V41" s="257"/>
      <c r="W41" s="224"/>
      <c r="X41" s="257"/>
      <c r="Y41" s="224"/>
      <c r="Z41" s="257"/>
      <c r="AA41" s="224"/>
      <c r="AB41" s="229">
        <f t="shared" si="1"/>
        <v>0</v>
      </c>
      <c r="AC41" s="251"/>
      <c r="AD41" s="220"/>
      <c r="AE41" s="220"/>
      <c r="AF41" s="220"/>
      <c r="AG41" s="220"/>
      <c r="AH41" s="220"/>
      <c r="AI41" s="220"/>
      <c r="AJ41" s="220"/>
    </row>
    <row r="42" spans="1:36" ht="21" customHeight="1" x14ac:dyDescent="0.3">
      <c r="A42" s="210"/>
      <c r="B42" s="230" t="s">
        <v>255</v>
      </c>
      <c r="C42" s="237"/>
      <c r="D42" s="228"/>
      <c r="E42" s="224"/>
      <c r="F42" s="228"/>
      <c r="G42" s="224"/>
      <c r="H42" s="228"/>
      <c r="I42" s="224"/>
      <c r="J42" s="228"/>
      <c r="K42" s="224"/>
      <c r="L42" s="228"/>
      <c r="M42" s="224"/>
      <c r="N42" s="228"/>
      <c r="O42" s="224"/>
      <c r="P42" s="228"/>
      <c r="Q42" s="224"/>
      <c r="R42" s="228"/>
      <c r="S42" s="224"/>
      <c r="T42" s="228"/>
      <c r="U42" s="224"/>
      <c r="V42" s="228"/>
      <c r="W42" s="224"/>
      <c r="X42" s="228"/>
      <c r="Y42" s="224"/>
      <c r="Z42" s="228"/>
      <c r="AA42" s="224"/>
      <c r="AB42" s="229">
        <f t="shared" si="1"/>
        <v>0</v>
      </c>
      <c r="AC42" s="251"/>
      <c r="AD42" s="220"/>
      <c r="AE42" s="220"/>
      <c r="AF42" s="220"/>
      <c r="AG42" s="220"/>
      <c r="AH42" s="220"/>
      <c r="AI42" s="220"/>
      <c r="AJ42" s="220"/>
    </row>
    <row r="43" spans="1:36" ht="21" customHeight="1" x14ac:dyDescent="0.3">
      <c r="A43" s="210"/>
      <c r="B43" s="230" t="s">
        <v>256</v>
      </c>
      <c r="C43" s="237"/>
      <c r="D43" s="258"/>
      <c r="E43" s="224"/>
      <c r="F43" s="257"/>
      <c r="G43" s="224"/>
      <c r="H43" s="257"/>
      <c r="I43" s="224"/>
      <c r="J43" s="257"/>
      <c r="K43" s="224"/>
      <c r="L43" s="257"/>
      <c r="M43" s="224"/>
      <c r="N43" s="257"/>
      <c r="O43" s="224"/>
      <c r="P43" s="257"/>
      <c r="Q43" s="224"/>
      <c r="R43" s="257"/>
      <c r="S43" s="224"/>
      <c r="T43" s="257"/>
      <c r="U43" s="224"/>
      <c r="V43" s="257"/>
      <c r="W43" s="224"/>
      <c r="X43" s="257"/>
      <c r="Y43" s="224"/>
      <c r="Z43" s="257"/>
      <c r="AA43" s="224"/>
      <c r="AB43" s="229">
        <f t="shared" si="1"/>
        <v>0</v>
      </c>
      <c r="AD43" s="220"/>
      <c r="AE43" s="220"/>
      <c r="AF43" s="220"/>
      <c r="AG43" s="220"/>
      <c r="AH43" s="220"/>
      <c r="AI43" s="220"/>
      <c r="AJ43" s="220"/>
    </row>
    <row r="44" spans="1:36" ht="3.75" customHeight="1" thickBot="1" x14ac:dyDescent="0.35">
      <c r="A44" s="259"/>
      <c r="B44" s="232"/>
      <c r="C44" s="260"/>
      <c r="D44" s="234"/>
      <c r="E44" s="234"/>
      <c r="F44" s="261"/>
      <c r="G44" s="234"/>
      <c r="H44" s="261"/>
      <c r="I44" s="234"/>
      <c r="J44" s="261"/>
      <c r="K44" s="234"/>
      <c r="L44" s="261"/>
      <c r="M44" s="234"/>
      <c r="N44" s="261"/>
      <c r="O44" s="234"/>
      <c r="P44" s="261"/>
      <c r="Q44" s="234"/>
      <c r="R44" s="261"/>
      <c r="S44" s="234"/>
      <c r="T44" s="261"/>
      <c r="U44" s="234"/>
      <c r="V44" s="261"/>
      <c r="W44" s="234"/>
      <c r="X44" s="261"/>
      <c r="Y44" s="234"/>
      <c r="Z44" s="261"/>
      <c r="AA44" s="234"/>
      <c r="AB44" s="235"/>
      <c r="AD44" s="220"/>
      <c r="AE44" s="220"/>
      <c r="AF44" s="220"/>
      <c r="AG44" s="220"/>
      <c r="AH44" s="220"/>
      <c r="AI44" s="220"/>
      <c r="AJ44" s="220"/>
    </row>
    <row r="45" spans="1:36" ht="21.75" customHeight="1" x14ac:dyDescent="0.3">
      <c r="A45" s="210" t="s">
        <v>257</v>
      </c>
      <c r="B45" s="236" t="s">
        <v>258</v>
      </c>
      <c r="C45" s="237"/>
      <c r="D45" s="238">
        <f>SUM(D16:D43)</f>
        <v>0</v>
      </c>
      <c r="E45" s="239"/>
      <c r="F45" s="238">
        <f>SUM(F16:F43)</f>
        <v>0</v>
      </c>
      <c r="G45" s="239"/>
      <c r="H45" s="238">
        <f>SUM(H16:H43)</f>
        <v>0</v>
      </c>
      <c r="I45" s="239"/>
      <c r="J45" s="238">
        <f>SUM(J16:J43)</f>
        <v>0</v>
      </c>
      <c r="K45" s="239"/>
      <c r="L45" s="238">
        <f>SUM(L16:L43)</f>
        <v>0</v>
      </c>
      <c r="M45" s="239"/>
      <c r="N45" s="238">
        <f>SUM(N16:N43)</f>
        <v>0</v>
      </c>
      <c r="O45" s="239"/>
      <c r="P45" s="238">
        <f>SUM(P16:P43)</f>
        <v>0</v>
      </c>
      <c r="Q45" s="239"/>
      <c r="R45" s="238">
        <f>SUM(R16:R43)</f>
        <v>0</v>
      </c>
      <c r="S45" s="239"/>
      <c r="T45" s="238">
        <f>SUM(T16:T43)</f>
        <v>0</v>
      </c>
      <c r="U45" s="239"/>
      <c r="V45" s="238">
        <f>SUM(V16:V43)</f>
        <v>0</v>
      </c>
      <c r="W45" s="239"/>
      <c r="X45" s="238">
        <f>SUM(X16:X43)</f>
        <v>0</v>
      </c>
      <c r="Y45" s="239"/>
      <c r="Z45" s="238">
        <f>SUM(Z16:Z43)</f>
        <v>0</v>
      </c>
      <c r="AA45" s="239"/>
      <c r="AB45" s="225">
        <f>SUM(AB16:AB43)</f>
        <v>0</v>
      </c>
      <c r="AD45" s="220"/>
      <c r="AE45" s="220"/>
      <c r="AF45" s="220"/>
      <c r="AG45" s="220"/>
      <c r="AH45" s="220"/>
      <c r="AI45" s="220"/>
      <c r="AJ45" s="220"/>
    </row>
    <row r="46" spans="1:36" ht="27.75" customHeight="1" x14ac:dyDescent="0.3">
      <c r="A46" s="210" t="s">
        <v>259</v>
      </c>
      <c r="B46" s="236" t="s">
        <v>260</v>
      </c>
      <c r="C46" s="237"/>
      <c r="D46" s="238">
        <f>D13-D45</f>
        <v>0</v>
      </c>
      <c r="E46" s="239"/>
      <c r="F46" s="238">
        <f>F13-F45</f>
        <v>0</v>
      </c>
      <c r="G46" s="239"/>
      <c r="H46" s="238">
        <f>H13-H45</f>
        <v>0</v>
      </c>
      <c r="I46" s="239"/>
      <c r="J46" s="238">
        <f>J13-J45</f>
        <v>0</v>
      </c>
      <c r="K46" s="239"/>
      <c r="L46" s="238">
        <f>L13-L45</f>
        <v>0</v>
      </c>
      <c r="M46" s="239"/>
      <c r="N46" s="238">
        <f>N13-N45</f>
        <v>0</v>
      </c>
      <c r="O46" s="239"/>
      <c r="P46" s="238">
        <f>P13-P45</f>
        <v>0</v>
      </c>
      <c r="Q46" s="239"/>
      <c r="R46" s="238">
        <f>R13-R45</f>
        <v>0</v>
      </c>
      <c r="S46" s="239"/>
      <c r="T46" s="238">
        <f>T13-T45</f>
        <v>0</v>
      </c>
      <c r="U46" s="239"/>
      <c r="V46" s="238">
        <f>V13-V45</f>
        <v>0</v>
      </c>
      <c r="W46" s="239"/>
      <c r="X46" s="238">
        <f>X13-X45</f>
        <v>0</v>
      </c>
      <c r="Y46" s="239"/>
      <c r="Z46" s="238">
        <f>Z13-Z45</f>
        <v>0</v>
      </c>
      <c r="AA46" s="239"/>
      <c r="AB46" s="225">
        <f>AB13-AB45</f>
        <v>0</v>
      </c>
      <c r="AD46" s="220"/>
      <c r="AE46" s="220"/>
      <c r="AF46" s="220"/>
      <c r="AG46" s="220"/>
      <c r="AH46" s="220"/>
      <c r="AI46" s="220"/>
      <c r="AJ46" s="220"/>
    </row>
    <row r="47" spans="1:36" ht="15.6" x14ac:dyDescent="0.3">
      <c r="A47" s="210"/>
      <c r="B47" s="262" t="s">
        <v>261</v>
      </c>
      <c r="C47" s="241"/>
      <c r="D47" s="239"/>
      <c r="E47" s="239"/>
      <c r="F47" s="263"/>
      <c r="G47" s="239"/>
      <c r="H47" s="263"/>
      <c r="I47" s="239"/>
      <c r="J47" s="263"/>
      <c r="K47" s="239"/>
      <c r="L47" s="263"/>
      <c r="M47" s="239"/>
      <c r="N47" s="263"/>
      <c r="O47" s="239"/>
      <c r="P47" s="263"/>
      <c r="Q47" s="239"/>
      <c r="R47" s="263"/>
      <c r="S47" s="239"/>
      <c r="T47" s="263"/>
      <c r="U47" s="239"/>
      <c r="V47" s="263"/>
      <c r="W47" s="239"/>
      <c r="X47" s="263"/>
      <c r="Y47" s="239"/>
      <c r="Z47" s="263"/>
      <c r="AA47" s="239"/>
      <c r="AB47" s="264" t="s">
        <v>262</v>
      </c>
      <c r="AD47" s="220"/>
      <c r="AE47" s="220"/>
      <c r="AF47" s="220"/>
      <c r="AG47" s="220"/>
      <c r="AH47" s="220"/>
      <c r="AI47" s="220"/>
      <c r="AJ47" s="220"/>
    </row>
    <row r="48" spans="1:36" ht="18.75" customHeight="1" x14ac:dyDescent="0.3">
      <c r="A48" s="210" t="s">
        <v>159</v>
      </c>
      <c r="B48" s="236" t="s">
        <v>263</v>
      </c>
      <c r="C48" s="241"/>
      <c r="D48" s="223">
        <v>1000</v>
      </c>
      <c r="E48" s="224"/>
      <c r="F48" s="238">
        <f>D68</f>
        <v>1000</v>
      </c>
      <c r="G48" s="239"/>
      <c r="H48" s="238">
        <f>F68</f>
        <v>1000</v>
      </c>
      <c r="I48" s="239"/>
      <c r="J48" s="238">
        <f>H68</f>
        <v>1000</v>
      </c>
      <c r="K48" s="239"/>
      <c r="L48" s="238">
        <f>J68</f>
        <v>1000</v>
      </c>
      <c r="M48" s="239"/>
      <c r="N48" s="238">
        <f>L68</f>
        <v>1000</v>
      </c>
      <c r="O48" s="239"/>
      <c r="P48" s="238">
        <f>N68</f>
        <v>1000</v>
      </c>
      <c r="Q48" s="239"/>
      <c r="R48" s="238">
        <f>P68</f>
        <v>1000</v>
      </c>
      <c r="S48" s="239"/>
      <c r="T48" s="238">
        <f>R68</f>
        <v>1000</v>
      </c>
      <c r="U48" s="239"/>
      <c r="V48" s="238">
        <f>T68</f>
        <v>1000</v>
      </c>
      <c r="W48" s="239"/>
      <c r="X48" s="238">
        <f>V68</f>
        <v>1000</v>
      </c>
      <c r="Y48" s="239"/>
      <c r="Z48" s="238">
        <f>X68</f>
        <v>1000</v>
      </c>
      <c r="AA48" s="239"/>
      <c r="AB48" s="225">
        <f>D48</f>
        <v>1000</v>
      </c>
      <c r="AD48" s="220"/>
      <c r="AE48" s="220"/>
      <c r="AF48" s="220"/>
      <c r="AG48" s="220"/>
      <c r="AH48" s="220"/>
      <c r="AI48" s="220"/>
      <c r="AJ48" s="220"/>
    </row>
    <row r="49" spans="1:36" ht="15" customHeight="1" x14ac:dyDescent="0.3">
      <c r="A49" s="210"/>
      <c r="B49" s="240"/>
      <c r="C49" s="241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64" t="s">
        <v>264</v>
      </c>
      <c r="AD49" s="220"/>
      <c r="AE49" s="220"/>
      <c r="AF49" s="220"/>
      <c r="AG49" s="220"/>
      <c r="AH49" s="220"/>
      <c r="AI49" s="220"/>
      <c r="AJ49" s="220"/>
    </row>
    <row r="50" spans="1:36" ht="19.5" customHeight="1" x14ac:dyDescent="0.3">
      <c r="A50" s="210" t="s">
        <v>265</v>
      </c>
      <c r="B50" s="236" t="s">
        <v>266</v>
      </c>
      <c r="C50" s="241"/>
      <c r="D50" s="238">
        <f>D46+D48</f>
        <v>1000</v>
      </c>
      <c r="E50" s="239"/>
      <c r="F50" s="238">
        <f>F46+F48</f>
        <v>1000</v>
      </c>
      <c r="G50" s="239"/>
      <c r="H50" s="238">
        <f>H46+H48</f>
        <v>1000</v>
      </c>
      <c r="I50" s="239"/>
      <c r="J50" s="238">
        <f>J46+J48</f>
        <v>1000</v>
      </c>
      <c r="K50" s="239"/>
      <c r="L50" s="238">
        <f>L46+L48</f>
        <v>1000</v>
      </c>
      <c r="M50" s="239"/>
      <c r="N50" s="238">
        <f>N46+N48</f>
        <v>1000</v>
      </c>
      <c r="O50" s="239"/>
      <c r="P50" s="238">
        <f>P46+P48</f>
        <v>1000</v>
      </c>
      <c r="Q50" s="239"/>
      <c r="R50" s="238">
        <f>R46+R48</f>
        <v>1000</v>
      </c>
      <c r="S50" s="239"/>
      <c r="T50" s="238">
        <f>T46+T48</f>
        <v>1000</v>
      </c>
      <c r="U50" s="239"/>
      <c r="V50" s="238">
        <f>V46+V48</f>
        <v>1000</v>
      </c>
      <c r="W50" s="239"/>
      <c r="X50" s="238">
        <f>X46+X48</f>
        <v>1000</v>
      </c>
      <c r="Y50" s="239"/>
      <c r="Z50" s="238">
        <f>Z46+Z48</f>
        <v>1000</v>
      </c>
      <c r="AA50" s="239"/>
      <c r="AB50" s="225">
        <f>AB46+AB48</f>
        <v>1000</v>
      </c>
      <c r="AD50" s="220"/>
      <c r="AE50" s="220"/>
      <c r="AF50" s="220"/>
      <c r="AG50" s="220"/>
      <c r="AH50" s="220"/>
      <c r="AI50" s="220"/>
      <c r="AJ50" s="220"/>
    </row>
    <row r="51" spans="1:36" ht="15.6" x14ac:dyDescent="0.3">
      <c r="A51" s="210"/>
      <c r="B51" s="262" t="s">
        <v>267</v>
      </c>
      <c r="C51" s="241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64" t="s">
        <v>268</v>
      </c>
      <c r="AD51" s="220"/>
      <c r="AE51" s="220"/>
      <c r="AF51" s="220"/>
      <c r="AG51" s="220"/>
      <c r="AH51" s="220"/>
      <c r="AI51" s="220"/>
      <c r="AJ51" s="220"/>
    </row>
    <row r="52" spans="1:36" ht="15.6" x14ac:dyDescent="0.3">
      <c r="A52" s="210" t="s">
        <v>158</v>
      </c>
      <c r="B52" s="236" t="s">
        <v>269</v>
      </c>
      <c r="C52" s="241"/>
      <c r="D52" s="223">
        <v>1000</v>
      </c>
      <c r="E52" s="224"/>
      <c r="F52" s="238">
        <f>D52</f>
        <v>1000</v>
      </c>
      <c r="G52" s="239"/>
      <c r="H52" s="238">
        <f>F52</f>
        <v>1000</v>
      </c>
      <c r="I52" s="239"/>
      <c r="J52" s="238">
        <f>H52</f>
        <v>1000</v>
      </c>
      <c r="K52" s="239"/>
      <c r="L52" s="238">
        <f>J52</f>
        <v>1000</v>
      </c>
      <c r="M52" s="239"/>
      <c r="N52" s="238">
        <f>L52</f>
        <v>1000</v>
      </c>
      <c r="O52" s="239"/>
      <c r="P52" s="238">
        <f>N52</f>
        <v>1000</v>
      </c>
      <c r="Q52" s="239"/>
      <c r="R52" s="238">
        <f>P52</f>
        <v>1000</v>
      </c>
      <c r="S52" s="239"/>
      <c r="T52" s="238">
        <f>R52</f>
        <v>1000</v>
      </c>
      <c r="U52" s="239"/>
      <c r="V52" s="238">
        <f>T52</f>
        <v>1000</v>
      </c>
      <c r="W52" s="239"/>
      <c r="X52" s="238">
        <f>V52</f>
        <v>1000</v>
      </c>
      <c r="Y52" s="239"/>
      <c r="Z52" s="238">
        <f>X52</f>
        <v>1000</v>
      </c>
      <c r="AA52" s="239"/>
      <c r="AB52" s="265"/>
      <c r="AD52" s="220"/>
      <c r="AE52" s="220"/>
      <c r="AF52" s="220"/>
      <c r="AG52" s="220"/>
      <c r="AH52" s="220"/>
      <c r="AI52" s="220"/>
      <c r="AJ52" s="220"/>
    </row>
    <row r="53" spans="1:36" ht="15" customHeight="1" x14ac:dyDescent="0.3">
      <c r="A53" s="210"/>
      <c r="B53" s="240"/>
      <c r="C53" s="241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65"/>
      <c r="AD53" s="220"/>
      <c r="AE53" s="220"/>
      <c r="AF53" s="220"/>
      <c r="AG53" s="220"/>
      <c r="AH53" s="220"/>
      <c r="AI53" s="220"/>
      <c r="AJ53" s="220"/>
    </row>
    <row r="54" spans="1:36" ht="15.6" x14ac:dyDescent="0.3">
      <c r="A54" s="210" t="s">
        <v>160</v>
      </c>
      <c r="B54" s="236" t="s">
        <v>270</v>
      </c>
      <c r="C54" s="241"/>
      <c r="D54" s="238">
        <f>IF(D50&gt;D52,D50-D52,0)</f>
        <v>0</v>
      </c>
      <c r="E54" s="239"/>
      <c r="F54" s="238">
        <f>IF(F50&gt;F52,F50-F52,0)</f>
        <v>0</v>
      </c>
      <c r="G54" s="239"/>
      <c r="H54" s="238">
        <f>IF(H50&gt;H52,H50-H52,0)</f>
        <v>0</v>
      </c>
      <c r="I54" s="239"/>
      <c r="J54" s="238">
        <f>IF(J50&gt;J52,J50-J52,0)</f>
        <v>0</v>
      </c>
      <c r="K54" s="239"/>
      <c r="L54" s="238">
        <f>IF(L50&gt;L52,L50-L52,0)</f>
        <v>0</v>
      </c>
      <c r="M54" s="239"/>
      <c r="N54" s="238">
        <f>IF(N50&gt;N52,N50-N52,0)</f>
        <v>0</v>
      </c>
      <c r="O54" s="239"/>
      <c r="P54" s="238">
        <f>IF(P50&gt;P52,P50-P52,0)</f>
        <v>0</v>
      </c>
      <c r="Q54" s="239"/>
      <c r="R54" s="238">
        <f>IF(R50&gt;R52,R50-R52,0)</f>
        <v>0</v>
      </c>
      <c r="S54" s="239"/>
      <c r="T54" s="238">
        <f>IF(T50&gt;T52,T50-T52,0)</f>
        <v>0</v>
      </c>
      <c r="U54" s="239"/>
      <c r="V54" s="238">
        <f>IF(V50&gt;V52,V50-V52,0)</f>
        <v>0</v>
      </c>
      <c r="W54" s="239"/>
      <c r="X54" s="238">
        <f>IF(X50&gt;X52,X50-X52,0)</f>
        <v>0</v>
      </c>
      <c r="Y54" s="239"/>
      <c r="Z54" s="238">
        <f>IF(Z50&gt;Z52,Z50-Z52,0)</f>
        <v>0</v>
      </c>
      <c r="AA54" s="239"/>
      <c r="AB54" s="265"/>
      <c r="AD54" s="220"/>
      <c r="AE54" s="220"/>
      <c r="AF54" s="220"/>
      <c r="AG54" s="220"/>
      <c r="AH54" s="220"/>
      <c r="AI54" s="220"/>
      <c r="AJ54" s="220"/>
    </row>
    <row r="55" spans="1:36" ht="15" customHeight="1" x14ac:dyDescent="0.3">
      <c r="A55" s="210"/>
      <c r="B55" s="262" t="s">
        <v>271</v>
      </c>
      <c r="C55" s="241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39"/>
      <c r="AB55" s="265"/>
      <c r="AD55" s="220"/>
      <c r="AE55" s="220"/>
      <c r="AF55" s="220"/>
      <c r="AG55" s="220"/>
      <c r="AH55" s="220"/>
      <c r="AI55" s="220"/>
      <c r="AJ55" s="220"/>
    </row>
    <row r="56" spans="1:36" ht="15.75" customHeight="1" x14ac:dyDescent="0.3">
      <c r="A56" s="210" t="s">
        <v>156</v>
      </c>
      <c r="B56" s="236" t="s">
        <v>272</v>
      </c>
      <c r="C56" s="266">
        <v>0.06</v>
      </c>
      <c r="D56" s="238">
        <f>IF(D52&gt;D50,D52-D50,0)</f>
        <v>0</v>
      </c>
      <c r="E56" s="239"/>
      <c r="F56" s="238">
        <f>IF(F52&gt;F50,F52-F50,0)</f>
        <v>0</v>
      </c>
      <c r="G56" s="239"/>
      <c r="H56" s="238">
        <f>IF(H52&gt;H50,H52-H50,0)</f>
        <v>0</v>
      </c>
      <c r="I56" s="239"/>
      <c r="J56" s="238">
        <f>IF(J52&gt;J50,J52-J50,0)</f>
        <v>0</v>
      </c>
      <c r="K56" s="239"/>
      <c r="L56" s="238">
        <f>IF(L52&gt;L50,L52-L50,0)</f>
        <v>0</v>
      </c>
      <c r="M56" s="239"/>
      <c r="N56" s="238">
        <f>IF(N52&gt;N50,N52-N50,0)</f>
        <v>0</v>
      </c>
      <c r="O56" s="239"/>
      <c r="P56" s="238">
        <f>IF(P52&gt;P50,P52-P50,0)</f>
        <v>0</v>
      </c>
      <c r="Q56" s="239"/>
      <c r="R56" s="238">
        <f>IF(R52&gt;R50,R52-R50,0)</f>
        <v>0</v>
      </c>
      <c r="S56" s="239"/>
      <c r="T56" s="238">
        <f>IF(T52&gt;T50,T52-T50,0)</f>
        <v>0</v>
      </c>
      <c r="U56" s="239"/>
      <c r="V56" s="238">
        <f>IF(V52&gt;V50,V52-V50,0)</f>
        <v>0</v>
      </c>
      <c r="W56" s="239"/>
      <c r="X56" s="238">
        <f>IF(X52&gt;X50,X52-X50,0)</f>
        <v>0</v>
      </c>
      <c r="Y56" s="239"/>
      <c r="Z56" s="238">
        <f>IF(Z52&gt;Z50,Z52-Z50,0)</f>
        <v>0</v>
      </c>
      <c r="AA56" s="239"/>
      <c r="AB56" s="225">
        <f>SUM(D56:Z56)</f>
        <v>0</v>
      </c>
      <c r="AD56" s="220"/>
      <c r="AE56" s="220"/>
      <c r="AF56" s="220"/>
      <c r="AG56" s="220"/>
      <c r="AH56" s="220"/>
      <c r="AI56" s="220"/>
      <c r="AJ56" s="220"/>
    </row>
    <row r="57" spans="1:36" ht="18" customHeight="1" x14ac:dyDescent="0.3">
      <c r="A57" s="210"/>
      <c r="B57" s="262" t="s">
        <v>273</v>
      </c>
      <c r="C57" s="240"/>
      <c r="D57" s="267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68" t="s">
        <v>274</v>
      </c>
      <c r="AD57" s="220"/>
      <c r="AE57" s="220"/>
      <c r="AF57" s="220"/>
      <c r="AG57" s="220"/>
      <c r="AH57" s="220"/>
      <c r="AI57" s="220"/>
      <c r="AJ57" s="220"/>
    </row>
    <row r="58" spans="1:36" ht="15.6" x14ac:dyDescent="0.3">
      <c r="A58" s="210" t="s">
        <v>157</v>
      </c>
      <c r="B58" s="236" t="s">
        <v>275</v>
      </c>
      <c r="C58" s="269">
        <v>0</v>
      </c>
      <c r="D58" s="270">
        <f>C58+D56</f>
        <v>0</v>
      </c>
      <c r="E58" s="239"/>
      <c r="F58" s="238">
        <f>D58-D66+F56</f>
        <v>0</v>
      </c>
      <c r="G58" s="239"/>
      <c r="H58" s="238">
        <f>F58-F66+H56</f>
        <v>0</v>
      </c>
      <c r="I58" s="239"/>
      <c r="J58" s="238">
        <f>H58-H66+J56</f>
        <v>0</v>
      </c>
      <c r="K58" s="239"/>
      <c r="L58" s="238">
        <f>J58-J66+L56</f>
        <v>0</v>
      </c>
      <c r="M58" s="239"/>
      <c r="N58" s="238">
        <f>L58-L66+N56</f>
        <v>0</v>
      </c>
      <c r="O58" s="239"/>
      <c r="P58" s="238">
        <f>N58-N66+P56</f>
        <v>0</v>
      </c>
      <c r="Q58" s="239"/>
      <c r="R58" s="238">
        <f>P58-P66+R56</f>
        <v>0</v>
      </c>
      <c r="S58" s="239"/>
      <c r="T58" s="238">
        <f>R58-R66+T56</f>
        <v>0</v>
      </c>
      <c r="U58" s="239"/>
      <c r="V58" s="238">
        <f>T58-T66+V56</f>
        <v>0</v>
      </c>
      <c r="W58" s="239"/>
      <c r="X58" s="238">
        <f>V58-V66+X56</f>
        <v>0</v>
      </c>
      <c r="Y58" s="239"/>
      <c r="Z58" s="238">
        <f>X58-X66+Z56</f>
        <v>0</v>
      </c>
      <c r="AA58" s="239"/>
      <c r="AB58" s="271">
        <f>Z58-Z66</f>
        <v>0</v>
      </c>
      <c r="AD58" s="220"/>
      <c r="AE58" s="220"/>
      <c r="AF58" s="220"/>
      <c r="AG58" s="220"/>
      <c r="AH58" s="220"/>
      <c r="AI58" s="220"/>
      <c r="AJ58" s="220"/>
    </row>
    <row r="59" spans="1:36" ht="23.25" customHeight="1" x14ac:dyDescent="0.3">
      <c r="A59" s="210"/>
      <c r="B59" s="322" t="s">
        <v>276</v>
      </c>
      <c r="C59" s="323"/>
      <c r="D59" s="272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68" t="s">
        <v>277</v>
      </c>
      <c r="AD59" s="220"/>
      <c r="AE59" s="220"/>
      <c r="AF59" s="220"/>
      <c r="AG59" s="220"/>
      <c r="AH59" s="220"/>
      <c r="AI59" s="220"/>
      <c r="AJ59" s="220"/>
    </row>
    <row r="60" spans="1:36" ht="15.6" x14ac:dyDescent="0.3">
      <c r="A60" s="210" t="s">
        <v>278</v>
      </c>
      <c r="B60" s="236" t="s">
        <v>279</v>
      </c>
      <c r="C60" s="269">
        <v>0</v>
      </c>
      <c r="D60" s="273">
        <f>D58*$C$56/12+C60</f>
        <v>0</v>
      </c>
      <c r="E60" s="274"/>
      <c r="F60" s="275">
        <f>F58*$C$56/12+D60-D62</f>
        <v>0</v>
      </c>
      <c r="G60" s="274"/>
      <c r="H60" s="275">
        <f>H58*$C$56/12+F60-F62</f>
        <v>0</v>
      </c>
      <c r="I60" s="274"/>
      <c r="J60" s="275">
        <f>J58*$C$56/12+H60-H62</f>
        <v>0</v>
      </c>
      <c r="K60" s="274"/>
      <c r="L60" s="275">
        <f>L58*$C$56/12+J60-J62</f>
        <v>0</v>
      </c>
      <c r="M60" s="274"/>
      <c r="N60" s="275">
        <f>N58*$C$56/12+L60-L62</f>
        <v>0</v>
      </c>
      <c r="O60" s="274"/>
      <c r="P60" s="275">
        <f>P58*$C$56/12+N60-N62</f>
        <v>0</v>
      </c>
      <c r="Q60" s="274"/>
      <c r="R60" s="275">
        <f>R58*$C$56/12+P60-P62</f>
        <v>0</v>
      </c>
      <c r="S60" s="274"/>
      <c r="T60" s="275">
        <f>T58*$C$56/12+R60-R62</f>
        <v>0</v>
      </c>
      <c r="U60" s="274"/>
      <c r="V60" s="275">
        <f>V58*$C$56/12+T60-T62</f>
        <v>0</v>
      </c>
      <c r="W60" s="274"/>
      <c r="X60" s="275">
        <f>X58*$C$56/12+V60-V62</f>
        <v>0</v>
      </c>
      <c r="Y60" s="274"/>
      <c r="Z60" s="275">
        <f>Z58*$C$56/12+X60-X62</f>
        <v>0</v>
      </c>
      <c r="AA60" s="274"/>
      <c r="AB60" s="271">
        <f>Z60-Z62</f>
        <v>0</v>
      </c>
      <c r="AD60" s="220"/>
      <c r="AE60" s="220"/>
      <c r="AF60" s="220"/>
      <c r="AG60" s="220"/>
      <c r="AH60" s="220"/>
      <c r="AI60" s="220"/>
      <c r="AJ60" s="220"/>
    </row>
    <row r="61" spans="1:36" ht="22.5" customHeight="1" x14ac:dyDescent="0.3">
      <c r="A61" s="210"/>
      <c r="B61" s="276" t="s">
        <v>280</v>
      </c>
      <c r="C61" s="240"/>
      <c r="D61" s="272"/>
      <c r="E61" s="239"/>
      <c r="F61" s="239"/>
      <c r="G61" s="239"/>
      <c r="H61" s="239"/>
      <c r="I61" s="239"/>
      <c r="J61" s="239"/>
      <c r="K61" s="239"/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39"/>
      <c r="AB61" s="268" t="s">
        <v>281</v>
      </c>
      <c r="AD61" s="220"/>
      <c r="AE61" s="220"/>
      <c r="AF61" s="220"/>
      <c r="AG61" s="220"/>
      <c r="AH61" s="220"/>
      <c r="AI61" s="220"/>
      <c r="AJ61" s="220"/>
    </row>
    <row r="62" spans="1:36" ht="15.6" x14ac:dyDescent="0.3">
      <c r="A62" s="210" t="s">
        <v>282</v>
      </c>
      <c r="B62" s="236" t="s">
        <v>283</v>
      </c>
      <c r="C62" s="277"/>
      <c r="D62" s="238">
        <f>IF(D54&gt;D60,D60,D54)</f>
        <v>0</v>
      </c>
      <c r="E62" s="239"/>
      <c r="F62" s="238">
        <f>IF(F54&gt;F60,F60,F54)</f>
        <v>0</v>
      </c>
      <c r="G62" s="239"/>
      <c r="H62" s="238">
        <f>IF(H54&gt;H60,H60,H54)</f>
        <v>0</v>
      </c>
      <c r="I62" s="239"/>
      <c r="J62" s="238">
        <f>IF(J54&gt;J60,J60,J54)</f>
        <v>0</v>
      </c>
      <c r="K62" s="239"/>
      <c r="L62" s="238">
        <f>IF(L54&gt;L60,L60,L54)</f>
        <v>0</v>
      </c>
      <c r="M62" s="239"/>
      <c r="N62" s="238">
        <f>IF(N54&gt;N60,N60,N54)</f>
        <v>0</v>
      </c>
      <c r="O62" s="239"/>
      <c r="P62" s="238">
        <f>IF(P54&gt;P60,P60,P54)</f>
        <v>0</v>
      </c>
      <c r="Q62" s="239"/>
      <c r="R62" s="238">
        <f>IF(R54&gt;R60,R60,R54)</f>
        <v>0</v>
      </c>
      <c r="S62" s="239"/>
      <c r="T62" s="238">
        <f>IF(T54&gt;T60,T60,T54)</f>
        <v>0</v>
      </c>
      <c r="U62" s="239"/>
      <c r="V62" s="238">
        <f>IF(V54&gt;V60,V60,V54)</f>
        <v>0</v>
      </c>
      <c r="W62" s="239"/>
      <c r="X62" s="238">
        <f>IF(X54&gt;X60,X60,X54)</f>
        <v>0</v>
      </c>
      <c r="Y62" s="239"/>
      <c r="Z62" s="238">
        <f>IF(Z54&gt;Z60,Z60,Z54)</f>
        <v>0</v>
      </c>
      <c r="AA62" s="239"/>
      <c r="AB62" s="225">
        <f>SUM(D62:Z62)</f>
        <v>0</v>
      </c>
      <c r="AD62" s="220"/>
      <c r="AE62" s="220"/>
      <c r="AF62" s="220"/>
      <c r="AG62" s="220"/>
      <c r="AH62" s="220"/>
      <c r="AI62" s="220"/>
      <c r="AJ62" s="220"/>
    </row>
    <row r="63" spans="1:36" ht="15" customHeight="1" x14ac:dyDescent="0.3">
      <c r="A63" s="210"/>
      <c r="B63" s="262" t="s">
        <v>284</v>
      </c>
      <c r="C63" s="278"/>
      <c r="D63" s="239"/>
      <c r="E63" s="239"/>
      <c r="F63" s="239"/>
      <c r="G63" s="239"/>
      <c r="H63" s="239"/>
      <c r="I63" s="239"/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39"/>
      <c r="AA63" s="239"/>
      <c r="AB63" s="268" t="s">
        <v>285</v>
      </c>
      <c r="AD63" s="220"/>
      <c r="AE63" s="220"/>
      <c r="AF63" s="220"/>
      <c r="AG63" s="220"/>
      <c r="AH63" s="220"/>
      <c r="AI63" s="220"/>
      <c r="AJ63" s="220"/>
    </row>
    <row r="64" spans="1:36" ht="15.6" x14ac:dyDescent="0.3">
      <c r="A64" s="210" t="s">
        <v>286</v>
      </c>
      <c r="B64" s="236" t="s">
        <v>287</v>
      </c>
      <c r="C64" s="241"/>
      <c r="D64" s="238">
        <f>D54-D62</f>
        <v>0</v>
      </c>
      <c r="E64" s="224"/>
      <c r="F64" s="238">
        <f>F54-F62</f>
        <v>0</v>
      </c>
      <c r="G64" s="224"/>
      <c r="H64" s="238">
        <f>H54-H62</f>
        <v>0</v>
      </c>
      <c r="I64" s="224"/>
      <c r="J64" s="238">
        <f>J54-J62</f>
        <v>0</v>
      </c>
      <c r="K64" s="224"/>
      <c r="L64" s="238">
        <f>L54-L62</f>
        <v>0</v>
      </c>
      <c r="M64" s="224"/>
      <c r="N64" s="238">
        <f>N54-N62</f>
        <v>0</v>
      </c>
      <c r="O64" s="224"/>
      <c r="P64" s="238">
        <f>P54-P62</f>
        <v>0</v>
      </c>
      <c r="Q64" s="224"/>
      <c r="R64" s="238">
        <f>R54-R62</f>
        <v>0</v>
      </c>
      <c r="S64" s="224"/>
      <c r="T64" s="238">
        <f>T54-T62</f>
        <v>0</v>
      </c>
      <c r="U64" s="224"/>
      <c r="V64" s="238">
        <f>V54-V62</f>
        <v>0</v>
      </c>
      <c r="W64" s="224"/>
      <c r="X64" s="238">
        <f>X54-X62</f>
        <v>0</v>
      </c>
      <c r="Y64" s="224"/>
      <c r="Z64" s="238">
        <f>Z54-Z62</f>
        <v>0</v>
      </c>
      <c r="AA64" s="274"/>
      <c r="AB64" s="279"/>
      <c r="AD64" s="220"/>
      <c r="AE64" s="220"/>
      <c r="AF64" s="220"/>
      <c r="AG64" s="220"/>
      <c r="AH64" s="220"/>
      <c r="AI64" s="220"/>
      <c r="AJ64" s="220"/>
    </row>
    <row r="65" spans="1:28" ht="15" customHeight="1" x14ac:dyDescent="0.3">
      <c r="A65" s="210"/>
      <c r="B65" s="262" t="s">
        <v>288</v>
      </c>
      <c r="C65" s="241"/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  <c r="AA65" s="239"/>
      <c r="AB65" s="265"/>
    </row>
    <row r="66" spans="1:28" ht="15.6" x14ac:dyDescent="0.3">
      <c r="A66" s="210" t="s">
        <v>289</v>
      </c>
      <c r="B66" s="236" t="s">
        <v>290</v>
      </c>
      <c r="C66" s="241"/>
      <c r="D66" s="238">
        <f>IF(D64&gt;D58,D58,D64)</f>
        <v>0</v>
      </c>
      <c r="E66" s="239"/>
      <c r="F66" s="238">
        <f>IF(F64&gt;F58,F58,F64)</f>
        <v>0</v>
      </c>
      <c r="G66" s="239"/>
      <c r="H66" s="238">
        <f>IF(H64&gt;H58,H58,H64)</f>
        <v>0</v>
      </c>
      <c r="I66" s="239"/>
      <c r="J66" s="238">
        <f>IF(J64&gt;J58,J58,J64)</f>
        <v>0</v>
      </c>
      <c r="K66" s="239"/>
      <c r="L66" s="238">
        <f>IF(L64&gt;L58,L58,L64)</f>
        <v>0</v>
      </c>
      <c r="M66" s="239"/>
      <c r="N66" s="238">
        <f>IF(N64&gt;N58,N58,N64)</f>
        <v>0</v>
      </c>
      <c r="O66" s="239"/>
      <c r="P66" s="238">
        <f>IF(P64&gt;P58,P58,P64)</f>
        <v>0</v>
      </c>
      <c r="Q66" s="239"/>
      <c r="R66" s="238">
        <f>IF(R64&gt;R58,R58,R64)</f>
        <v>0</v>
      </c>
      <c r="S66" s="239"/>
      <c r="T66" s="238">
        <f>IF(T64&gt;T58,T58,T64)</f>
        <v>0</v>
      </c>
      <c r="U66" s="239"/>
      <c r="V66" s="238">
        <f>IF(V64&gt;V58,V58,V64)</f>
        <v>0</v>
      </c>
      <c r="W66" s="239"/>
      <c r="X66" s="238">
        <f>IF(X64&gt;X58,X58,X64)</f>
        <v>0</v>
      </c>
      <c r="Y66" s="239"/>
      <c r="Z66" s="238">
        <f>IF(Z64&gt;Z58,Z58,Z64)</f>
        <v>0</v>
      </c>
      <c r="AA66" s="239"/>
      <c r="AB66" s="225">
        <f>SUM(D66:Z66)</f>
        <v>0</v>
      </c>
    </row>
    <row r="67" spans="1:28" x14ac:dyDescent="0.25">
      <c r="A67" s="210"/>
      <c r="B67" s="262" t="s">
        <v>291</v>
      </c>
      <c r="C67" s="241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68" t="s">
        <v>292</v>
      </c>
    </row>
    <row r="68" spans="1:28" ht="15.6" x14ac:dyDescent="0.3">
      <c r="A68" s="210" t="s">
        <v>293</v>
      </c>
      <c r="B68" s="236" t="s">
        <v>294</v>
      </c>
      <c r="C68" s="277"/>
      <c r="D68" s="238">
        <f>D50+D56-D62-D66</f>
        <v>1000</v>
      </c>
      <c r="E68" s="239"/>
      <c r="F68" s="238">
        <f>F50+F56-F62-F66</f>
        <v>1000</v>
      </c>
      <c r="G68" s="239"/>
      <c r="H68" s="238">
        <f>H50+H56-H62-H66</f>
        <v>1000</v>
      </c>
      <c r="I68" s="239"/>
      <c r="J68" s="238">
        <f>J50+J56-J62-J66</f>
        <v>1000</v>
      </c>
      <c r="K68" s="239"/>
      <c r="L68" s="238">
        <f>L50+L56-L62-L66</f>
        <v>1000</v>
      </c>
      <c r="M68" s="239"/>
      <c r="N68" s="238">
        <f>N50+N56-N62-N66</f>
        <v>1000</v>
      </c>
      <c r="O68" s="239"/>
      <c r="P68" s="238">
        <f>P50+P56-P62-P66</f>
        <v>1000</v>
      </c>
      <c r="Q68" s="239"/>
      <c r="R68" s="238">
        <f>R50+R56-R62-R66</f>
        <v>1000</v>
      </c>
      <c r="S68" s="239"/>
      <c r="T68" s="238">
        <f>T50+T56-T62-T66</f>
        <v>1000</v>
      </c>
      <c r="U68" s="239"/>
      <c r="V68" s="238">
        <f>V50+V56-V62-V66</f>
        <v>1000</v>
      </c>
      <c r="W68" s="239"/>
      <c r="X68" s="238">
        <f>X50+X56-X62-X66</f>
        <v>1000</v>
      </c>
      <c r="Y68" s="239"/>
      <c r="Z68" s="238">
        <f>Z50+Z56-Z62-Z66</f>
        <v>1000</v>
      </c>
      <c r="AA68" s="239"/>
      <c r="AB68" s="225">
        <f>AB50+AB56-AB62-AB66</f>
        <v>1000</v>
      </c>
    </row>
    <row r="69" spans="1:28" ht="13.8" thickBot="1" x14ac:dyDescent="0.3">
      <c r="A69" s="280"/>
      <c r="B69" s="281" t="s">
        <v>295</v>
      </c>
      <c r="C69" s="282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4" t="s">
        <v>296</v>
      </c>
    </row>
  </sheetData>
  <mergeCells count="3">
    <mergeCell ref="A1:AB1"/>
    <mergeCell ref="A3:B3"/>
    <mergeCell ref="B59:C59"/>
  </mergeCells>
  <printOptions horizontalCentered="1"/>
  <pageMargins left="0.75" right="0.75" top="0.75" bottom="0.75" header="0" footer="0"/>
  <pageSetup scale="34" orientation="landscape" horizontalDpi="4294967293" vertic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130" zoomScaleNormal="130" workbookViewId="0">
      <selection activeCell="F26" sqref="F26"/>
    </sheetView>
  </sheetViews>
  <sheetFormatPr defaultRowHeight="14.4" x14ac:dyDescent="0.3"/>
  <cols>
    <col min="1" max="1" width="8.77734375" customWidth="1"/>
    <col min="2" max="2" width="16" customWidth="1"/>
  </cols>
  <sheetData>
    <row r="1" spans="1:8" x14ac:dyDescent="0.3">
      <c r="A1" t="s">
        <v>300</v>
      </c>
    </row>
    <row r="3" spans="1:8" x14ac:dyDescent="0.3">
      <c r="B3" t="s">
        <v>298</v>
      </c>
      <c r="C3" t="s">
        <v>83</v>
      </c>
      <c r="D3" t="s">
        <v>299</v>
      </c>
      <c r="E3" t="s">
        <v>81</v>
      </c>
    </row>
    <row r="4" spans="1:8" x14ac:dyDescent="0.3">
      <c r="D4" s="3"/>
    </row>
    <row r="5" spans="1:8" x14ac:dyDescent="0.3">
      <c r="A5" t="s">
        <v>162</v>
      </c>
    </row>
    <row r="6" spans="1:8" x14ac:dyDescent="0.3">
      <c r="B6" t="s">
        <v>304</v>
      </c>
      <c r="C6">
        <v>1000</v>
      </c>
      <c r="D6" s="3">
        <v>5</v>
      </c>
      <c r="E6" s="3">
        <f>C6*D6</f>
        <v>5000</v>
      </c>
    </row>
    <row r="7" spans="1:8" x14ac:dyDescent="0.3">
      <c r="B7" t="s">
        <v>305</v>
      </c>
      <c r="C7">
        <v>300</v>
      </c>
      <c r="D7" s="3">
        <v>8</v>
      </c>
      <c r="E7" s="3">
        <f t="shared" ref="E7:E14" si="0">C7*D7</f>
        <v>2400</v>
      </c>
    </row>
    <row r="8" spans="1:8" x14ac:dyDescent="0.3">
      <c r="A8" t="s">
        <v>163</v>
      </c>
      <c r="E8" s="3">
        <f>E6+E7</f>
        <v>7400</v>
      </c>
    </row>
    <row r="9" spans="1:8" x14ac:dyDescent="0.3">
      <c r="E9" s="3"/>
    </row>
    <row r="10" spans="1:8" x14ac:dyDescent="0.3">
      <c r="A10" t="s">
        <v>301</v>
      </c>
      <c r="E10" s="3"/>
    </row>
    <row r="11" spans="1:8" x14ac:dyDescent="0.3">
      <c r="B11" t="s">
        <v>302</v>
      </c>
      <c r="C11">
        <v>350</v>
      </c>
      <c r="D11" s="3">
        <v>5</v>
      </c>
      <c r="E11" s="3">
        <f t="shared" si="0"/>
        <v>1750</v>
      </c>
      <c r="F11" s="2"/>
      <c r="G11" s="3"/>
      <c r="H11" s="3"/>
    </row>
    <row r="12" spans="1:8" x14ac:dyDescent="0.3">
      <c r="B12" t="s">
        <v>164</v>
      </c>
      <c r="C12">
        <v>150</v>
      </c>
      <c r="D12" s="3">
        <v>12</v>
      </c>
      <c r="E12" s="3">
        <f t="shared" si="0"/>
        <v>1800</v>
      </c>
      <c r="F12" s="2"/>
      <c r="G12" s="3"/>
      <c r="H12" s="3"/>
    </row>
    <row r="13" spans="1:8" x14ac:dyDescent="0.3">
      <c r="B13" t="s">
        <v>166</v>
      </c>
      <c r="C13">
        <v>1</v>
      </c>
      <c r="D13" s="3">
        <v>850</v>
      </c>
      <c r="E13" s="3">
        <f t="shared" si="0"/>
        <v>850</v>
      </c>
      <c r="F13" s="2"/>
      <c r="G13" s="3"/>
      <c r="H13" s="3"/>
    </row>
    <row r="14" spans="1:8" x14ac:dyDescent="0.3">
      <c r="B14" t="s">
        <v>303</v>
      </c>
      <c r="C14">
        <v>1</v>
      </c>
      <c r="D14" s="3">
        <v>500</v>
      </c>
      <c r="E14" s="3">
        <f t="shared" si="0"/>
        <v>500</v>
      </c>
      <c r="F14" s="2"/>
      <c r="G14" s="3"/>
      <c r="H14" s="3"/>
    </row>
    <row r="15" spans="1:8" x14ac:dyDescent="0.3">
      <c r="A15" t="s">
        <v>167</v>
      </c>
      <c r="E15" s="3">
        <f>SUM(E11:E14)</f>
        <v>4900</v>
      </c>
      <c r="G15" s="3"/>
    </row>
    <row r="17" spans="1:5" x14ac:dyDescent="0.3">
      <c r="A17" t="s">
        <v>306</v>
      </c>
      <c r="E17" s="3">
        <f>E8-E15</f>
        <v>2500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Z219"/>
  <sheetViews>
    <sheetView showGridLines="0" zoomScaleNormal="100" zoomScaleSheetLayoutView="75" workbookViewId="0">
      <selection activeCell="F11" sqref="F11"/>
    </sheetView>
  </sheetViews>
  <sheetFormatPr defaultColWidth="11.44140625" defaultRowHeight="15" x14ac:dyDescent="0.25"/>
  <cols>
    <col min="1" max="1" width="21" style="4" customWidth="1"/>
    <col min="2" max="2" width="10.109375" style="4" customWidth="1"/>
    <col min="3" max="3" width="3.21875" style="4" customWidth="1"/>
    <col min="4" max="4" width="10.33203125" style="4" customWidth="1"/>
    <col min="5" max="5" width="10.21875" style="4" customWidth="1"/>
    <col min="6" max="6" width="11.6640625" style="5" customWidth="1"/>
    <col min="7" max="7" width="10.33203125" style="4" customWidth="1"/>
    <col min="8" max="8" width="11.5546875" style="4" customWidth="1"/>
    <col min="9" max="10" width="15.109375" style="4" customWidth="1"/>
    <col min="11" max="11" width="6.21875" style="4" customWidth="1"/>
    <col min="12" max="14" width="11.44140625" style="4" customWidth="1"/>
    <col min="15" max="15" width="9.109375" style="4" customWidth="1"/>
    <col min="16" max="16" width="11.44140625" style="4" customWidth="1"/>
    <col min="17" max="17" width="12.6640625" style="4" customWidth="1"/>
    <col min="18" max="256" width="11.44140625" style="4"/>
    <col min="257" max="257" width="21" style="4" customWidth="1"/>
    <col min="258" max="258" width="10.109375" style="4" customWidth="1"/>
    <col min="259" max="259" width="3.21875" style="4" customWidth="1"/>
    <col min="260" max="260" width="10.33203125" style="4" customWidth="1"/>
    <col min="261" max="261" width="10.21875" style="4" customWidth="1"/>
    <col min="262" max="262" width="11.6640625" style="4" customWidth="1"/>
    <col min="263" max="263" width="10.33203125" style="4" customWidth="1"/>
    <col min="264" max="264" width="11.5546875" style="4" customWidth="1"/>
    <col min="265" max="266" width="15.109375" style="4" customWidth="1"/>
    <col min="267" max="267" width="6.21875" style="4" customWidth="1"/>
    <col min="268" max="270" width="11.44140625" style="4"/>
    <col min="271" max="271" width="9.109375" style="4" customWidth="1"/>
    <col min="272" max="272" width="11.44140625" style="4"/>
    <col min="273" max="273" width="12.6640625" style="4" customWidth="1"/>
    <col min="274" max="512" width="11.44140625" style="4"/>
    <col min="513" max="513" width="21" style="4" customWidth="1"/>
    <col min="514" max="514" width="10.109375" style="4" customWidth="1"/>
    <col min="515" max="515" width="3.21875" style="4" customWidth="1"/>
    <col min="516" max="516" width="10.33203125" style="4" customWidth="1"/>
    <col min="517" max="517" width="10.21875" style="4" customWidth="1"/>
    <col min="518" max="518" width="11.6640625" style="4" customWidth="1"/>
    <col min="519" max="519" width="10.33203125" style="4" customWidth="1"/>
    <col min="520" max="520" width="11.5546875" style="4" customWidth="1"/>
    <col min="521" max="522" width="15.109375" style="4" customWidth="1"/>
    <col min="523" max="523" width="6.21875" style="4" customWidth="1"/>
    <col min="524" max="526" width="11.44140625" style="4"/>
    <col min="527" max="527" width="9.109375" style="4" customWidth="1"/>
    <col min="528" max="528" width="11.44140625" style="4"/>
    <col min="529" max="529" width="12.6640625" style="4" customWidth="1"/>
    <col min="530" max="768" width="11.44140625" style="4"/>
    <col min="769" max="769" width="21" style="4" customWidth="1"/>
    <col min="770" max="770" width="10.109375" style="4" customWidth="1"/>
    <col min="771" max="771" width="3.21875" style="4" customWidth="1"/>
    <col min="772" max="772" width="10.33203125" style="4" customWidth="1"/>
    <col min="773" max="773" width="10.21875" style="4" customWidth="1"/>
    <col min="774" max="774" width="11.6640625" style="4" customWidth="1"/>
    <col min="775" max="775" width="10.33203125" style="4" customWidth="1"/>
    <col min="776" max="776" width="11.5546875" style="4" customWidth="1"/>
    <col min="777" max="778" width="15.109375" style="4" customWidth="1"/>
    <col min="779" max="779" width="6.21875" style="4" customWidth="1"/>
    <col min="780" max="782" width="11.44140625" style="4"/>
    <col min="783" max="783" width="9.109375" style="4" customWidth="1"/>
    <col min="784" max="784" width="11.44140625" style="4"/>
    <col min="785" max="785" width="12.6640625" style="4" customWidth="1"/>
    <col min="786" max="1024" width="11.44140625" style="4"/>
    <col min="1025" max="1025" width="21" style="4" customWidth="1"/>
    <col min="1026" max="1026" width="10.109375" style="4" customWidth="1"/>
    <col min="1027" max="1027" width="3.21875" style="4" customWidth="1"/>
    <col min="1028" max="1028" width="10.33203125" style="4" customWidth="1"/>
    <col min="1029" max="1029" width="10.21875" style="4" customWidth="1"/>
    <col min="1030" max="1030" width="11.6640625" style="4" customWidth="1"/>
    <col min="1031" max="1031" width="10.33203125" style="4" customWidth="1"/>
    <col min="1032" max="1032" width="11.5546875" style="4" customWidth="1"/>
    <col min="1033" max="1034" width="15.109375" style="4" customWidth="1"/>
    <col min="1035" max="1035" width="6.21875" style="4" customWidth="1"/>
    <col min="1036" max="1038" width="11.44140625" style="4"/>
    <col min="1039" max="1039" width="9.109375" style="4" customWidth="1"/>
    <col min="1040" max="1040" width="11.44140625" style="4"/>
    <col min="1041" max="1041" width="12.6640625" style="4" customWidth="1"/>
    <col min="1042" max="1280" width="11.44140625" style="4"/>
    <col min="1281" max="1281" width="21" style="4" customWidth="1"/>
    <col min="1282" max="1282" width="10.109375" style="4" customWidth="1"/>
    <col min="1283" max="1283" width="3.21875" style="4" customWidth="1"/>
    <col min="1284" max="1284" width="10.33203125" style="4" customWidth="1"/>
    <col min="1285" max="1285" width="10.21875" style="4" customWidth="1"/>
    <col min="1286" max="1286" width="11.6640625" style="4" customWidth="1"/>
    <col min="1287" max="1287" width="10.33203125" style="4" customWidth="1"/>
    <col min="1288" max="1288" width="11.5546875" style="4" customWidth="1"/>
    <col min="1289" max="1290" width="15.109375" style="4" customWidth="1"/>
    <col min="1291" max="1291" width="6.21875" style="4" customWidth="1"/>
    <col min="1292" max="1294" width="11.44140625" style="4"/>
    <col min="1295" max="1295" width="9.109375" style="4" customWidth="1"/>
    <col min="1296" max="1296" width="11.44140625" style="4"/>
    <col min="1297" max="1297" width="12.6640625" style="4" customWidth="1"/>
    <col min="1298" max="1536" width="11.44140625" style="4"/>
    <col min="1537" max="1537" width="21" style="4" customWidth="1"/>
    <col min="1538" max="1538" width="10.109375" style="4" customWidth="1"/>
    <col min="1539" max="1539" width="3.21875" style="4" customWidth="1"/>
    <col min="1540" max="1540" width="10.33203125" style="4" customWidth="1"/>
    <col min="1541" max="1541" width="10.21875" style="4" customWidth="1"/>
    <col min="1542" max="1542" width="11.6640625" style="4" customWidth="1"/>
    <col min="1543" max="1543" width="10.33203125" style="4" customWidth="1"/>
    <col min="1544" max="1544" width="11.5546875" style="4" customWidth="1"/>
    <col min="1545" max="1546" width="15.109375" style="4" customWidth="1"/>
    <col min="1547" max="1547" width="6.21875" style="4" customWidth="1"/>
    <col min="1548" max="1550" width="11.44140625" style="4"/>
    <col min="1551" max="1551" width="9.109375" style="4" customWidth="1"/>
    <col min="1552" max="1552" width="11.44140625" style="4"/>
    <col min="1553" max="1553" width="12.6640625" style="4" customWidth="1"/>
    <col min="1554" max="1792" width="11.44140625" style="4"/>
    <col min="1793" max="1793" width="21" style="4" customWidth="1"/>
    <col min="1794" max="1794" width="10.109375" style="4" customWidth="1"/>
    <col min="1795" max="1795" width="3.21875" style="4" customWidth="1"/>
    <col min="1796" max="1796" width="10.33203125" style="4" customWidth="1"/>
    <col min="1797" max="1797" width="10.21875" style="4" customWidth="1"/>
    <col min="1798" max="1798" width="11.6640625" style="4" customWidth="1"/>
    <col min="1799" max="1799" width="10.33203125" style="4" customWidth="1"/>
    <col min="1800" max="1800" width="11.5546875" style="4" customWidth="1"/>
    <col min="1801" max="1802" width="15.109375" style="4" customWidth="1"/>
    <col min="1803" max="1803" width="6.21875" style="4" customWidth="1"/>
    <col min="1804" max="1806" width="11.44140625" style="4"/>
    <col min="1807" max="1807" width="9.109375" style="4" customWidth="1"/>
    <col min="1808" max="1808" width="11.44140625" style="4"/>
    <col min="1809" max="1809" width="12.6640625" style="4" customWidth="1"/>
    <col min="1810" max="2048" width="11.44140625" style="4"/>
    <col min="2049" max="2049" width="21" style="4" customWidth="1"/>
    <col min="2050" max="2050" width="10.109375" style="4" customWidth="1"/>
    <col min="2051" max="2051" width="3.21875" style="4" customWidth="1"/>
    <col min="2052" max="2052" width="10.33203125" style="4" customWidth="1"/>
    <col min="2053" max="2053" width="10.21875" style="4" customWidth="1"/>
    <col min="2054" max="2054" width="11.6640625" style="4" customWidth="1"/>
    <col min="2055" max="2055" width="10.33203125" style="4" customWidth="1"/>
    <col min="2056" max="2056" width="11.5546875" style="4" customWidth="1"/>
    <col min="2057" max="2058" width="15.109375" style="4" customWidth="1"/>
    <col min="2059" max="2059" width="6.21875" style="4" customWidth="1"/>
    <col min="2060" max="2062" width="11.44140625" style="4"/>
    <col min="2063" max="2063" width="9.109375" style="4" customWidth="1"/>
    <col min="2064" max="2064" width="11.44140625" style="4"/>
    <col min="2065" max="2065" width="12.6640625" style="4" customWidth="1"/>
    <col min="2066" max="2304" width="11.44140625" style="4"/>
    <col min="2305" max="2305" width="21" style="4" customWidth="1"/>
    <col min="2306" max="2306" width="10.109375" style="4" customWidth="1"/>
    <col min="2307" max="2307" width="3.21875" style="4" customWidth="1"/>
    <col min="2308" max="2308" width="10.33203125" style="4" customWidth="1"/>
    <col min="2309" max="2309" width="10.21875" style="4" customWidth="1"/>
    <col min="2310" max="2310" width="11.6640625" style="4" customWidth="1"/>
    <col min="2311" max="2311" width="10.33203125" style="4" customWidth="1"/>
    <col min="2312" max="2312" width="11.5546875" style="4" customWidth="1"/>
    <col min="2313" max="2314" width="15.109375" style="4" customWidth="1"/>
    <col min="2315" max="2315" width="6.21875" style="4" customWidth="1"/>
    <col min="2316" max="2318" width="11.44140625" style="4"/>
    <col min="2319" max="2319" width="9.109375" style="4" customWidth="1"/>
    <col min="2320" max="2320" width="11.44140625" style="4"/>
    <col min="2321" max="2321" width="12.6640625" style="4" customWidth="1"/>
    <col min="2322" max="2560" width="11.44140625" style="4"/>
    <col min="2561" max="2561" width="21" style="4" customWidth="1"/>
    <col min="2562" max="2562" width="10.109375" style="4" customWidth="1"/>
    <col min="2563" max="2563" width="3.21875" style="4" customWidth="1"/>
    <col min="2564" max="2564" width="10.33203125" style="4" customWidth="1"/>
    <col min="2565" max="2565" width="10.21875" style="4" customWidth="1"/>
    <col min="2566" max="2566" width="11.6640625" style="4" customWidth="1"/>
    <col min="2567" max="2567" width="10.33203125" style="4" customWidth="1"/>
    <col min="2568" max="2568" width="11.5546875" style="4" customWidth="1"/>
    <col min="2569" max="2570" width="15.109375" style="4" customWidth="1"/>
    <col min="2571" max="2571" width="6.21875" style="4" customWidth="1"/>
    <col min="2572" max="2574" width="11.44140625" style="4"/>
    <col min="2575" max="2575" width="9.109375" style="4" customWidth="1"/>
    <col min="2576" max="2576" width="11.44140625" style="4"/>
    <col min="2577" max="2577" width="12.6640625" style="4" customWidth="1"/>
    <col min="2578" max="2816" width="11.44140625" style="4"/>
    <col min="2817" max="2817" width="21" style="4" customWidth="1"/>
    <col min="2818" max="2818" width="10.109375" style="4" customWidth="1"/>
    <col min="2819" max="2819" width="3.21875" style="4" customWidth="1"/>
    <col min="2820" max="2820" width="10.33203125" style="4" customWidth="1"/>
    <col min="2821" max="2821" width="10.21875" style="4" customWidth="1"/>
    <col min="2822" max="2822" width="11.6640625" style="4" customWidth="1"/>
    <col min="2823" max="2823" width="10.33203125" style="4" customWidth="1"/>
    <col min="2824" max="2824" width="11.5546875" style="4" customWidth="1"/>
    <col min="2825" max="2826" width="15.109375" style="4" customWidth="1"/>
    <col min="2827" max="2827" width="6.21875" style="4" customWidth="1"/>
    <col min="2828" max="2830" width="11.44140625" style="4"/>
    <col min="2831" max="2831" width="9.109375" style="4" customWidth="1"/>
    <col min="2832" max="2832" width="11.44140625" style="4"/>
    <col min="2833" max="2833" width="12.6640625" style="4" customWidth="1"/>
    <col min="2834" max="3072" width="11.44140625" style="4"/>
    <col min="3073" max="3073" width="21" style="4" customWidth="1"/>
    <col min="3074" max="3074" width="10.109375" style="4" customWidth="1"/>
    <col min="3075" max="3075" width="3.21875" style="4" customWidth="1"/>
    <col min="3076" max="3076" width="10.33203125" style="4" customWidth="1"/>
    <col min="3077" max="3077" width="10.21875" style="4" customWidth="1"/>
    <col min="3078" max="3078" width="11.6640625" style="4" customWidth="1"/>
    <col min="3079" max="3079" width="10.33203125" style="4" customWidth="1"/>
    <col min="3080" max="3080" width="11.5546875" style="4" customWidth="1"/>
    <col min="3081" max="3082" width="15.109375" style="4" customWidth="1"/>
    <col min="3083" max="3083" width="6.21875" style="4" customWidth="1"/>
    <col min="3084" max="3086" width="11.44140625" style="4"/>
    <col min="3087" max="3087" width="9.109375" style="4" customWidth="1"/>
    <col min="3088" max="3088" width="11.44140625" style="4"/>
    <col min="3089" max="3089" width="12.6640625" style="4" customWidth="1"/>
    <col min="3090" max="3328" width="11.44140625" style="4"/>
    <col min="3329" max="3329" width="21" style="4" customWidth="1"/>
    <col min="3330" max="3330" width="10.109375" style="4" customWidth="1"/>
    <col min="3331" max="3331" width="3.21875" style="4" customWidth="1"/>
    <col min="3332" max="3332" width="10.33203125" style="4" customWidth="1"/>
    <col min="3333" max="3333" width="10.21875" style="4" customWidth="1"/>
    <col min="3334" max="3334" width="11.6640625" style="4" customWidth="1"/>
    <col min="3335" max="3335" width="10.33203125" style="4" customWidth="1"/>
    <col min="3336" max="3336" width="11.5546875" style="4" customWidth="1"/>
    <col min="3337" max="3338" width="15.109375" style="4" customWidth="1"/>
    <col min="3339" max="3339" width="6.21875" style="4" customWidth="1"/>
    <col min="3340" max="3342" width="11.44140625" style="4"/>
    <col min="3343" max="3343" width="9.109375" style="4" customWidth="1"/>
    <col min="3344" max="3344" width="11.44140625" style="4"/>
    <col min="3345" max="3345" width="12.6640625" style="4" customWidth="1"/>
    <col min="3346" max="3584" width="11.44140625" style="4"/>
    <col min="3585" max="3585" width="21" style="4" customWidth="1"/>
    <col min="3586" max="3586" width="10.109375" style="4" customWidth="1"/>
    <col min="3587" max="3587" width="3.21875" style="4" customWidth="1"/>
    <col min="3588" max="3588" width="10.33203125" style="4" customWidth="1"/>
    <col min="3589" max="3589" width="10.21875" style="4" customWidth="1"/>
    <col min="3590" max="3590" width="11.6640625" style="4" customWidth="1"/>
    <col min="3591" max="3591" width="10.33203125" style="4" customWidth="1"/>
    <col min="3592" max="3592" width="11.5546875" style="4" customWidth="1"/>
    <col min="3593" max="3594" width="15.109375" style="4" customWidth="1"/>
    <col min="3595" max="3595" width="6.21875" style="4" customWidth="1"/>
    <col min="3596" max="3598" width="11.44140625" style="4"/>
    <col min="3599" max="3599" width="9.109375" style="4" customWidth="1"/>
    <col min="3600" max="3600" width="11.44140625" style="4"/>
    <col min="3601" max="3601" width="12.6640625" style="4" customWidth="1"/>
    <col min="3602" max="3840" width="11.44140625" style="4"/>
    <col min="3841" max="3841" width="21" style="4" customWidth="1"/>
    <col min="3842" max="3842" width="10.109375" style="4" customWidth="1"/>
    <col min="3843" max="3843" width="3.21875" style="4" customWidth="1"/>
    <col min="3844" max="3844" width="10.33203125" style="4" customWidth="1"/>
    <col min="3845" max="3845" width="10.21875" style="4" customWidth="1"/>
    <col min="3846" max="3846" width="11.6640625" style="4" customWidth="1"/>
    <col min="3847" max="3847" width="10.33203125" style="4" customWidth="1"/>
    <col min="3848" max="3848" width="11.5546875" style="4" customWidth="1"/>
    <col min="3849" max="3850" width="15.109375" style="4" customWidth="1"/>
    <col min="3851" max="3851" width="6.21875" style="4" customWidth="1"/>
    <col min="3852" max="3854" width="11.44140625" style="4"/>
    <col min="3855" max="3855" width="9.109375" style="4" customWidth="1"/>
    <col min="3856" max="3856" width="11.44140625" style="4"/>
    <col min="3857" max="3857" width="12.6640625" style="4" customWidth="1"/>
    <col min="3858" max="4096" width="11.44140625" style="4"/>
    <col min="4097" max="4097" width="21" style="4" customWidth="1"/>
    <col min="4098" max="4098" width="10.109375" style="4" customWidth="1"/>
    <col min="4099" max="4099" width="3.21875" style="4" customWidth="1"/>
    <col min="4100" max="4100" width="10.33203125" style="4" customWidth="1"/>
    <col min="4101" max="4101" width="10.21875" style="4" customWidth="1"/>
    <col min="4102" max="4102" width="11.6640625" style="4" customWidth="1"/>
    <col min="4103" max="4103" width="10.33203125" style="4" customWidth="1"/>
    <col min="4104" max="4104" width="11.5546875" style="4" customWidth="1"/>
    <col min="4105" max="4106" width="15.109375" style="4" customWidth="1"/>
    <col min="4107" max="4107" width="6.21875" style="4" customWidth="1"/>
    <col min="4108" max="4110" width="11.44140625" style="4"/>
    <col min="4111" max="4111" width="9.109375" style="4" customWidth="1"/>
    <col min="4112" max="4112" width="11.44140625" style="4"/>
    <col min="4113" max="4113" width="12.6640625" style="4" customWidth="1"/>
    <col min="4114" max="4352" width="11.44140625" style="4"/>
    <col min="4353" max="4353" width="21" style="4" customWidth="1"/>
    <col min="4354" max="4354" width="10.109375" style="4" customWidth="1"/>
    <col min="4355" max="4355" width="3.21875" style="4" customWidth="1"/>
    <col min="4356" max="4356" width="10.33203125" style="4" customWidth="1"/>
    <col min="4357" max="4357" width="10.21875" style="4" customWidth="1"/>
    <col min="4358" max="4358" width="11.6640625" style="4" customWidth="1"/>
    <col min="4359" max="4359" width="10.33203125" style="4" customWidth="1"/>
    <col min="4360" max="4360" width="11.5546875" style="4" customWidth="1"/>
    <col min="4361" max="4362" width="15.109375" style="4" customWidth="1"/>
    <col min="4363" max="4363" width="6.21875" style="4" customWidth="1"/>
    <col min="4364" max="4366" width="11.44140625" style="4"/>
    <col min="4367" max="4367" width="9.109375" style="4" customWidth="1"/>
    <col min="4368" max="4368" width="11.44140625" style="4"/>
    <col min="4369" max="4369" width="12.6640625" style="4" customWidth="1"/>
    <col min="4370" max="4608" width="11.44140625" style="4"/>
    <col min="4609" max="4609" width="21" style="4" customWidth="1"/>
    <col min="4610" max="4610" width="10.109375" style="4" customWidth="1"/>
    <col min="4611" max="4611" width="3.21875" style="4" customWidth="1"/>
    <col min="4612" max="4612" width="10.33203125" style="4" customWidth="1"/>
    <col min="4613" max="4613" width="10.21875" style="4" customWidth="1"/>
    <col min="4614" max="4614" width="11.6640625" style="4" customWidth="1"/>
    <col min="4615" max="4615" width="10.33203125" style="4" customWidth="1"/>
    <col min="4616" max="4616" width="11.5546875" style="4" customWidth="1"/>
    <col min="4617" max="4618" width="15.109375" style="4" customWidth="1"/>
    <col min="4619" max="4619" width="6.21875" style="4" customWidth="1"/>
    <col min="4620" max="4622" width="11.44140625" style="4"/>
    <col min="4623" max="4623" width="9.109375" style="4" customWidth="1"/>
    <col min="4624" max="4624" width="11.44140625" style="4"/>
    <col min="4625" max="4625" width="12.6640625" style="4" customWidth="1"/>
    <col min="4626" max="4864" width="11.44140625" style="4"/>
    <col min="4865" max="4865" width="21" style="4" customWidth="1"/>
    <col min="4866" max="4866" width="10.109375" style="4" customWidth="1"/>
    <col min="4867" max="4867" width="3.21875" style="4" customWidth="1"/>
    <col min="4868" max="4868" width="10.33203125" style="4" customWidth="1"/>
    <col min="4869" max="4869" width="10.21875" style="4" customWidth="1"/>
    <col min="4870" max="4870" width="11.6640625" style="4" customWidth="1"/>
    <col min="4871" max="4871" width="10.33203125" style="4" customWidth="1"/>
    <col min="4872" max="4872" width="11.5546875" style="4" customWidth="1"/>
    <col min="4873" max="4874" width="15.109375" style="4" customWidth="1"/>
    <col min="4875" max="4875" width="6.21875" style="4" customWidth="1"/>
    <col min="4876" max="4878" width="11.44140625" style="4"/>
    <col min="4879" max="4879" width="9.109375" style="4" customWidth="1"/>
    <col min="4880" max="4880" width="11.44140625" style="4"/>
    <col min="4881" max="4881" width="12.6640625" style="4" customWidth="1"/>
    <col min="4882" max="5120" width="11.44140625" style="4"/>
    <col min="5121" max="5121" width="21" style="4" customWidth="1"/>
    <col min="5122" max="5122" width="10.109375" style="4" customWidth="1"/>
    <col min="5123" max="5123" width="3.21875" style="4" customWidth="1"/>
    <col min="5124" max="5124" width="10.33203125" style="4" customWidth="1"/>
    <col min="5125" max="5125" width="10.21875" style="4" customWidth="1"/>
    <col min="5126" max="5126" width="11.6640625" style="4" customWidth="1"/>
    <col min="5127" max="5127" width="10.33203125" style="4" customWidth="1"/>
    <col min="5128" max="5128" width="11.5546875" style="4" customWidth="1"/>
    <col min="5129" max="5130" width="15.109375" style="4" customWidth="1"/>
    <col min="5131" max="5131" width="6.21875" style="4" customWidth="1"/>
    <col min="5132" max="5134" width="11.44140625" style="4"/>
    <col min="5135" max="5135" width="9.109375" style="4" customWidth="1"/>
    <col min="5136" max="5136" width="11.44140625" style="4"/>
    <col min="5137" max="5137" width="12.6640625" style="4" customWidth="1"/>
    <col min="5138" max="5376" width="11.44140625" style="4"/>
    <col min="5377" max="5377" width="21" style="4" customWidth="1"/>
    <col min="5378" max="5378" width="10.109375" style="4" customWidth="1"/>
    <col min="5379" max="5379" width="3.21875" style="4" customWidth="1"/>
    <col min="5380" max="5380" width="10.33203125" style="4" customWidth="1"/>
    <col min="5381" max="5381" width="10.21875" style="4" customWidth="1"/>
    <col min="5382" max="5382" width="11.6640625" style="4" customWidth="1"/>
    <col min="5383" max="5383" width="10.33203125" style="4" customWidth="1"/>
    <col min="5384" max="5384" width="11.5546875" style="4" customWidth="1"/>
    <col min="5385" max="5386" width="15.109375" style="4" customWidth="1"/>
    <col min="5387" max="5387" width="6.21875" style="4" customWidth="1"/>
    <col min="5388" max="5390" width="11.44140625" style="4"/>
    <col min="5391" max="5391" width="9.109375" style="4" customWidth="1"/>
    <col min="5392" max="5392" width="11.44140625" style="4"/>
    <col min="5393" max="5393" width="12.6640625" style="4" customWidth="1"/>
    <col min="5394" max="5632" width="11.44140625" style="4"/>
    <col min="5633" max="5633" width="21" style="4" customWidth="1"/>
    <col min="5634" max="5634" width="10.109375" style="4" customWidth="1"/>
    <col min="5635" max="5635" width="3.21875" style="4" customWidth="1"/>
    <col min="5636" max="5636" width="10.33203125" style="4" customWidth="1"/>
    <col min="5637" max="5637" width="10.21875" style="4" customWidth="1"/>
    <col min="5638" max="5638" width="11.6640625" style="4" customWidth="1"/>
    <col min="5639" max="5639" width="10.33203125" style="4" customWidth="1"/>
    <col min="5640" max="5640" width="11.5546875" style="4" customWidth="1"/>
    <col min="5641" max="5642" width="15.109375" style="4" customWidth="1"/>
    <col min="5643" max="5643" width="6.21875" style="4" customWidth="1"/>
    <col min="5644" max="5646" width="11.44140625" style="4"/>
    <col min="5647" max="5647" width="9.109375" style="4" customWidth="1"/>
    <col min="5648" max="5648" width="11.44140625" style="4"/>
    <col min="5649" max="5649" width="12.6640625" style="4" customWidth="1"/>
    <col min="5650" max="5888" width="11.44140625" style="4"/>
    <col min="5889" max="5889" width="21" style="4" customWidth="1"/>
    <col min="5890" max="5890" width="10.109375" style="4" customWidth="1"/>
    <col min="5891" max="5891" width="3.21875" style="4" customWidth="1"/>
    <col min="5892" max="5892" width="10.33203125" style="4" customWidth="1"/>
    <col min="5893" max="5893" width="10.21875" style="4" customWidth="1"/>
    <col min="5894" max="5894" width="11.6640625" style="4" customWidth="1"/>
    <col min="5895" max="5895" width="10.33203125" style="4" customWidth="1"/>
    <col min="5896" max="5896" width="11.5546875" style="4" customWidth="1"/>
    <col min="5897" max="5898" width="15.109375" style="4" customWidth="1"/>
    <col min="5899" max="5899" width="6.21875" style="4" customWidth="1"/>
    <col min="5900" max="5902" width="11.44140625" style="4"/>
    <col min="5903" max="5903" width="9.109375" style="4" customWidth="1"/>
    <col min="5904" max="5904" width="11.44140625" style="4"/>
    <col min="5905" max="5905" width="12.6640625" style="4" customWidth="1"/>
    <col min="5906" max="6144" width="11.44140625" style="4"/>
    <col min="6145" max="6145" width="21" style="4" customWidth="1"/>
    <col min="6146" max="6146" width="10.109375" style="4" customWidth="1"/>
    <col min="6147" max="6147" width="3.21875" style="4" customWidth="1"/>
    <col min="6148" max="6148" width="10.33203125" style="4" customWidth="1"/>
    <col min="6149" max="6149" width="10.21875" style="4" customWidth="1"/>
    <col min="6150" max="6150" width="11.6640625" style="4" customWidth="1"/>
    <col min="6151" max="6151" width="10.33203125" style="4" customWidth="1"/>
    <col min="6152" max="6152" width="11.5546875" style="4" customWidth="1"/>
    <col min="6153" max="6154" width="15.109375" style="4" customWidth="1"/>
    <col min="6155" max="6155" width="6.21875" style="4" customWidth="1"/>
    <col min="6156" max="6158" width="11.44140625" style="4"/>
    <col min="6159" max="6159" width="9.109375" style="4" customWidth="1"/>
    <col min="6160" max="6160" width="11.44140625" style="4"/>
    <col min="6161" max="6161" width="12.6640625" style="4" customWidth="1"/>
    <col min="6162" max="6400" width="11.44140625" style="4"/>
    <col min="6401" max="6401" width="21" style="4" customWidth="1"/>
    <col min="6402" max="6402" width="10.109375" style="4" customWidth="1"/>
    <col min="6403" max="6403" width="3.21875" style="4" customWidth="1"/>
    <col min="6404" max="6404" width="10.33203125" style="4" customWidth="1"/>
    <col min="6405" max="6405" width="10.21875" style="4" customWidth="1"/>
    <col min="6406" max="6406" width="11.6640625" style="4" customWidth="1"/>
    <col min="6407" max="6407" width="10.33203125" style="4" customWidth="1"/>
    <col min="6408" max="6408" width="11.5546875" style="4" customWidth="1"/>
    <col min="6409" max="6410" width="15.109375" style="4" customWidth="1"/>
    <col min="6411" max="6411" width="6.21875" style="4" customWidth="1"/>
    <col min="6412" max="6414" width="11.44140625" style="4"/>
    <col min="6415" max="6415" width="9.109375" style="4" customWidth="1"/>
    <col min="6416" max="6416" width="11.44140625" style="4"/>
    <col min="6417" max="6417" width="12.6640625" style="4" customWidth="1"/>
    <col min="6418" max="6656" width="11.44140625" style="4"/>
    <col min="6657" max="6657" width="21" style="4" customWidth="1"/>
    <col min="6658" max="6658" width="10.109375" style="4" customWidth="1"/>
    <col min="6659" max="6659" width="3.21875" style="4" customWidth="1"/>
    <col min="6660" max="6660" width="10.33203125" style="4" customWidth="1"/>
    <col min="6661" max="6661" width="10.21875" style="4" customWidth="1"/>
    <col min="6662" max="6662" width="11.6640625" style="4" customWidth="1"/>
    <col min="6663" max="6663" width="10.33203125" style="4" customWidth="1"/>
    <col min="6664" max="6664" width="11.5546875" style="4" customWidth="1"/>
    <col min="6665" max="6666" width="15.109375" style="4" customWidth="1"/>
    <col min="6667" max="6667" width="6.21875" style="4" customWidth="1"/>
    <col min="6668" max="6670" width="11.44140625" style="4"/>
    <col min="6671" max="6671" width="9.109375" style="4" customWidth="1"/>
    <col min="6672" max="6672" width="11.44140625" style="4"/>
    <col min="6673" max="6673" width="12.6640625" style="4" customWidth="1"/>
    <col min="6674" max="6912" width="11.44140625" style="4"/>
    <col min="6913" max="6913" width="21" style="4" customWidth="1"/>
    <col min="6914" max="6914" width="10.109375" style="4" customWidth="1"/>
    <col min="6915" max="6915" width="3.21875" style="4" customWidth="1"/>
    <col min="6916" max="6916" width="10.33203125" style="4" customWidth="1"/>
    <col min="6917" max="6917" width="10.21875" style="4" customWidth="1"/>
    <col min="6918" max="6918" width="11.6640625" style="4" customWidth="1"/>
    <col min="6919" max="6919" width="10.33203125" style="4" customWidth="1"/>
    <col min="6920" max="6920" width="11.5546875" style="4" customWidth="1"/>
    <col min="6921" max="6922" width="15.109375" style="4" customWidth="1"/>
    <col min="6923" max="6923" width="6.21875" style="4" customWidth="1"/>
    <col min="6924" max="6926" width="11.44140625" style="4"/>
    <col min="6927" max="6927" width="9.109375" style="4" customWidth="1"/>
    <col min="6928" max="6928" width="11.44140625" style="4"/>
    <col min="6929" max="6929" width="12.6640625" style="4" customWidth="1"/>
    <col min="6930" max="7168" width="11.44140625" style="4"/>
    <col min="7169" max="7169" width="21" style="4" customWidth="1"/>
    <col min="7170" max="7170" width="10.109375" style="4" customWidth="1"/>
    <col min="7171" max="7171" width="3.21875" style="4" customWidth="1"/>
    <col min="7172" max="7172" width="10.33203125" style="4" customWidth="1"/>
    <col min="7173" max="7173" width="10.21875" style="4" customWidth="1"/>
    <col min="7174" max="7174" width="11.6640625" style="4" customWidth="1"/>
    <col min="7175" max="7175" width="10.33203125" style="4" customWidth="1"/>
    <col min="7176" max="7176" width="11.5546875" style="4" customWidth="1"/>
    <col min="7177" max="7178" width="15.109375" style="4" customWidth="1"/>
    <col min="7179" max="7179" width="6.21875" style="4" customWidth="1"/>
    <col min="7180" max="7182" width="11.44140625" style="4"/>
    <col min="7183" max="7183" width="9.109375" style="4" customWidth="1"/>
    <col min="7184" max="7184" width="11.44140625" style="4"/>
    <col min="7185" max="7185" width="12.6640625" style="4" customWidth="1"/>
    <col min="7186" max="7424" width="11.44140625" style="4"/>
    <col min="7425" max="7425" width="21" style="4" customWidth="1"/>
    <col min="7426" max="7426" width="10.109375" style="4" customWidth="1"/>
    <col min="7427" max="7427" width="3.21875" style="4" customWidth="1"/>
    <col min="7428" max="7428" width="10.33203125" style="4" customWidth="1"/>
    <col min="7429" max="7429" width="10.21875" style="4" customWidth="1"/>
    <col min="7430" max="7430" width="11.6640625" style="4" customWidth="1"/>
    <col min="7431" max="7431" width="10.33203125" style="4" customWidth="1"/>
    <col min="7432" max="7432" width="11.5546875" style="4" customWidth="1"/>
    <col min="7433" max="7434" width="15.109375" style="4" customWidth="1"/>
    <col min="7435" max="7435" width="6.21875" style="4" customWidth="1"/>
    <col min="7436" max="7438" width="11.44140625" style="4"/>
    <col min="7439" max="7439" width="9.109375" style="4" customWidth="1"/>
    <col min="7440" max="7440" width="11.44140625" style="4"/>
    <col min="7441" max="7441" width="12.6640625" style="4" customWidth="1"/>
    <col min="7442" max="7680" width="11.44140625" style="4"/>
    <col min="7681" max="7681" width="21" style="4" customWidth="1"/>
    <col min="7682" max="7682" width="10.109375" style="4" customWidth="1"/>
    <col min="7683" max="7683" width="3.21875" style="4" customWidth="1"/>
    <col min="7684" max="7684" width="10.33203125" style="4" customWidth="1"/>
    <col min="7685" max="7685" width="10.21875" style="4" customWidth="1"/>
    <col min="7686" max="7686" width="11.6640625" style="4" customWidth="1"/>
    <col min="7687" max="7687" width="10.33203125" style="4" customWidth="1"/>
    <col min="7688" max="7688" width="11.5546875" style="4" customWidth="1"/>
    <col min="7689" max="7690" width="15.109375" style="4" customWidth="1"/>
    <col min="7691" max="7691" width="6.21875" style="4" customWidth="1"/>
    <col min="7692" max="7694" width="11.44140625" style="4"/>
    <col min="7695" max="7695" width="9.109375" style="4" customWidth="1"/>
    <col min="7696" max="7696" width="11.44140625" style="4"/>
    <col min="7697" max="7697" width="12.6640625" style="4" customWidth="1"/>
    <col min="7698" max="7936" width="11.44140625" style="4"/>
    <col min="7937" max="7937" width="21" style="4" customWidth="1"/>
    <col min="7938" max="7938" width="10.109375" style="4" customWidth="1"/>
    <col min="7939" max="7939" width="3.21875" style="4" customWidth="1"/>
    <col min="7940" max="7940" width="10.33203125" style="4" customWidth="1"/>
    <col min="7941" max="7941" width="10.21875" style="4" customWidth="1"/>
    <col min="7942" max="7942" width="11.6640625" style="4" customWidth="1"/>
    <col min="7943" max="7943" width="10.33203125" style="4" customWidth="1"/>
    <col min="7944" max="7944" width="11.5546875" style="4" customWidth="1"/>
    <col min="7945" max="7946" width="15.109375" style="4" customWidth="1"/>
    <col min="7947" max="7947" width="6.21875" style="4" customWidth="1"/>
    <col min="7948" max="7950" width="11.44140625" style="4"/>
    <col min="7951" max="7951" width="9.109375" style="4" customWidth="1"/>
    <col min="7952" max="7952" width="11.44140625" style="4"/>
    <col min="7953" max="7953" width="12.6640625" style="4" customWidth="1"/>
    <col min="7954" max="8192" width="11.44140625" style="4"/>
    <col min="8193" max="8193" width="21" style="4" customWidth="1"/>
    <col min="8194" max="8194" width="10.109375" style="4" customWidth="1"/>
    <col min="8195" max="8195" width="3.21875" style="4" customWidth="1"/>
    <col min="8196" max="8196" width="10.33203125" style="4" customWidth="1"/>
    <col min="8197" max="8197" width="10.21875" style="4" customWidth="1"/>
    <col min="8198" max="8198" width="11.6640625" style="4" customWidth="1"/>
    <col min="8199" max="8199" width="10.33203125" style="4" customWidth="1"/>
    <col min="8200" max="8200" width="11.5546875" style="4" customWidth="1"/>
    <col min="8201" max="8202" width="15.109375" style="4" customWidth="1"/>
    <col min="8203" max="8203" width="6.21875" style="4" customWidth="1"/>
    <col min="8204" max="8206" width="11.44140625" style="4"/>
    <col min="8207" max="8207" width="9.109375" style="4" customWidth="1"/>
    <col min="8208" max="8208" width="11.44140625" style="4"/>
    <col min="8209" max="8209" width="12.6640625" style="4" customWidth="1"/>
    <col min="8210" max="8448" width="11.44140625" style="4"/>
    <col min="8449" max="8449" width="21" style="4" customWidth="1"/>
    <col min="8450" max="8450" width="10.109375" style="4" customWidth="1"/>
    <col min="8451" max="8451" width="3.21875" style="4" customWidth="1"/>
    <col min="8452" max="8452" width="10.33203125" style="4" customWidth="1"/>
    <col min="8453" max="8453" width="10.21875" style="4" customWidth="1"/>
    <col min="8454" max="8454" width="11.6640625" style="4" customWidth="1"/>
    <col min="8455" max="8455" width="10.33203125" style="4" customWidth="1"/>
    <col min="8456" max="8456" width="11.5546875" style="4" customWidth="1"/>
    <col min="8457" max="8458" width="15.109375" style="4" customWidth="1"/>
    <col min="8459" max="8459" width="6.21875" style="4" customWidth="1"/>
    <col min="8460" max="8462" width="11.44140625" style="4"/>
    <col min="8463" max="8463" width="9.109375" style="4" customWidth="1"/>
    <col min="8464" max="8464" width="11.44140625" style="4"/>
    <col min="8465" max="8465" width="12.6640625" style="4" customWidth="1"/>
    <col min="8466" max="8704" width="11.44140625" style="4"/>
    <col min="8705" max="8705" width="21" style="4" customWidth="1"/>
    <col min="8706" max="8706" width="10.109375" style="4" customWidth="1"/>
    <col min="8707" max="8707" width="3.21875" style="4" customWidth="1"/>
    <col min="8708" max="8708" width="10.33203125" style="4" customWidth="1"/>
    <col min="8709" max="8709" width="10.21875" style="4" customWidth="1"/>
    <col min="8710" max="8710" width="11.6640625" style="4" customWidth="1"/>
    <col min="8711" max="8711" width="10.33203125" style="4" customWidth="1"/>
    <col min="8712" max="8712" width="11.5546875" style="4" customWidth="1"/>
    <col min="8713" max="8714" width="15.109375" style="4" customWidth="1"/>
    <col min="8715" max="8715" width="6.21875" style="4" customWidth="1"/>
    <col min="8716" max="8718" width="11.44140625" style="4"/>
    <col min="8719" max="8719" width="9.109375" style="4" customWidth="1"/>
    <col min="8720" max="8720" width="11.44140625" style="4"/>
    <col min="8721" max="8721" width="12.6640625" style="4" customWidth="1"/>
    <col min="8722" max="8960" width="11.44140625" style="4"/>
    <col min="8961" max="8961" width="21" style="4" customWidth="1"/>
    <col min="8962" max="8962" width="10.109375" style="4" customWidth="1"/>
    <col min="8963" max="8963" width="3.21875" style="4" customWidth="1"/>
    <col min="8964" max="8964" width="10.33203125" style="4" customWidth="1"/>
    <col min="8965" max="8965" width="10.21875" style="4" customWidth="1"/>
    <col min="8966" max="8966" width="11.6640625" style="4" customWidth="1"/>
    <col min="8967" max="8967" width="10.33203125" style="4" customWidth="1"/>
    <col min="8968" max="8968" width="11.5546875" style="4" customWidth="1"/>
    <col min="8969" max="8970" width="15.109375" style="4" customWidth="1"/>
    <col min="8971" max="8971" width="6.21875" style="4" customWidth="1"/>
    <col min="8972" max="8974" width="11.44140625" style="4"/>
    <col min="8975" max="8975" width="9.109375" style="4" customWidth="1"/>
    <col min="8976" max="8976" width="11.44140625" style="4"/>
    <col min="8977" max="8977" width="12.6640625" style="4" customWidth="1"/>
    <col min="8978" max="9216" width="11.44140625" style="4"/>
    <col min="9217" max="9217" width="21" style="4" customWidth="1"/>
    <col min="9218" max="9218" width="10.109375" style="4" customWidth="1"/>
    <col min="9219" max="9219" width="3.21875" style="4" customWidth="1"/>
    <col min="9220" max="9220" width="10.33203125" style="4" customWidth="1"/>
    <col min="9221" max="9221" width="10.21875" style="4" customWidth="1"/>
    <col min="9222" max="9222" width="11.6640625" style="4" customWidth="1"/>
    <col min="9223" max="9223" width="10.33203125" style="4" customWidth="1"/>
    <col min="9224" max="9224" width="11.5546875" style="4" customWidth="1"/>
    <col min="9225" max="9226" width="15.109375" style="4" customWidth="1"/>
    <col min="9227" max="9227" width="6.21875" style="4" customWidth="1"/>
    <col min="9228" max="9230" width="11.44140625" style="4"/>
    <col min="9231" max="9231" width="9.109375" style="4" customWidth="1"/>
    <col min="9232" max="9232" width="11.44140625" style="4"/>
    <col min="9233" max="9233" width="12.6640625" style="4" customWidth="1"/>
    <col min="9234" max="9472" width="11.44140625" style="4"/>
    <col min="9473" max="9473" width="21" style="4" customWidth="1"/>
    <col min="9474" max="9474" width="10.109375" style="4" customWidth="1"/>
    <col min="9475" max="9475" width="3.21875" style="4" customWidth="1"/>
    <col min="9476" max="9476" width="10.33203125" style="4" customWidth="1"/>
    <col min="9477" max="9477" width="10.21875" style="4" customWidth="1"/>
    <col min="9478" max="9478" width="11.6640625" style="4" customWidth="1"/>
    <col min="9479" max="9479" width="10.33203125" style="4" customWidth="1"/>
    <col min="9480" max="9480" width="11.5546875" style="4" customWidth="1"/>
    <col min="9481" max="9482" width="15.109375" style="4" customWidth="1"/>
    <col min="9483" max="9483" width="6.21875" style="4" customWidth="1"/>
    <col min="9484" max="9486" width="11.44140625" style="4"/>
    <col min="9487" max="9487" width="9.109375" style="4" customWidth="1"/>
    <col min="9488" max="9488" width="11.44140625" style="4"/>
    <col min="9489" max="9489" width="12.6640625" style="4" customWidth="1"/>
    <col min="9490" max="9728" width="11.44140625" style="4"/>
    <col min="9729" max="9729" width="21" style="4" customWidth="1"/>
    <col min="9730" max="9730" width="10.109375" style="4" customWidth="1"/>
    <col min="9731" max="9731" width="3.21875" style="4" customWidth="1"/>
    <col min="9732" max="9732" width="10.33203125" style="4" customWidth="1"/>
    <col min="9733" max="9733" width="10.21875" style="4" customWidth="1"/>
    <col min="9734" max="9734" width="11.6640625" style="4" customWidth="1"/>
    <col min="9735" max="9735" width="10.33203125" style="4" customWidth="1"/>
    <col min="9736" max="9736" width="11.5546875" style="4" customWidth="1"/>
    <col min="9737" max="9738" width="15.109375" style="4" customWidth="1"/>
    <col min="9739" max="9739" width="6.21875" style="4" customWidth="1"/>
    <col min="9740" max="9742" width="11.44140625" style="4"/>
    <col min="9743" max="9743" width="9.109375" style="4" customWidth="1"/>
    <col min="9744" max="9744" width="11.44140625" style="4"/>
    <col min="9745" max="9745" width="12.6640625" style="4" customWidth="1"/>
    <col min="9746" max="9984" width="11.44140625" style="4"/>
    <col min="9985" max="9985" width="21" style="4" customWidth="1"/>
    <col min="9986" max="9986" width="10.109375" style="4" customWidth="1"/>
    <col min="9987" max="9987" width="3.21875" style="4" customWidth="1"/>
    <col min="9988" max="9988" width="10.33203125" style="4" customWidth="1"/>
    <col min="9989" max="9989" width="10.21875" style="4" customWidth="1"/>
    <col min="9990" max="9990" width="11.6640625" style="4" customWidth="1"/>
    <col min="9991" max="9991" width="10.33203125" style="4" customWidth="1"/>
    <col min="9992" max="9992" width="11.5546875" style="4" customWidth="1"/>
    <col min="9993" max="9994" width="15.109375" style="4" customWidth="1"/>
    <col min="9995" max="9995" width="6.21875" style="4" customWidth="1"/>
    <col min="9996" max="9998" width="11.44140625" style="4"/>
    <col min="9999" max="9999" width="9.109375" style="4" customWidth="1"/>
    <col min="10000" max="10000" width="11.44140625" style="4"/>
    <col min="10001" max="10001" width="12.6640625" style="4" customWidth="1"/>
    <col min="10002" max="10240" width="11.44140625" style="4"/>
    <col min="10241" max="10241" width="21" style="4" customWidth="1"/>
    <col min="10242" max="10242" width="10.109375" style="4" customWidth="1"/>
    <col min="10243" max="10243" width="3.21875" style="4" customWidth="1"/>
    <col min="10244" max="10244" width="10.33203125" style="4" customWidth="1"/>
    <col min="10245" max="10245" width="10.21875" style="4" customWidth="1"/>
    <col min="10246" max="10246" width="11.6640625" style="4" customWidth="1"/>
    <col min="10247" max="10247" width="10.33203125" style="4" customWidth="1"/>
    <col min="10248" max="10248" width="11.5546875" style="4" customWidth="1"/>
    <col min="10249" max="10250" width="15.109375" style="4" customWidth="1"/>
    <col min="10251" max="10251" width="6.21875" style="4" customWidth="1"/>
    <col min="10252" max="10254" width="11.44140625" style="4"/>
    <col min="10255" max="10255" width="9.109375" style="4" customWidth="1"/>
    <col min="10256" max="10256" width="11.44140625" style="4"/>
    <col min="10257" max="10257" width="12.6640625" style="4" customWidth="1"/>
    <col min="10258" max="10496" width="11.44140625" style="4"/>
    <col min="10497" max="10497" width="21" style="4" customWidth="1"/>
    <col min="10498" max="10498" width="10.109375" style="4" customWidth="1"/>
    <col min="10499" max="10499" width="3.21875" style="4" customWidth="1"/>
    <col min="10500" max="10500" width="10.33203125" style="4" customWidth="1"/>
    <col min="10501" max="10501" width="10.21875" style="4" customWidth="1"/>
    <col min="10502" max="10502" width="11.6640625" style="4" customWidth="1"/>
    <col min="10503" max="10503" width="10.33203125" style="4" customWidth="1"/>
    <col min="10504" max="10504" width="11.5546875" style="4" customWidth="1"/>
    <col min="10505" max="10506" width="15.109375" style="4" customWidth="1"/>
    <col min="10507" max="10507" width="6.21875" style="4" customWidth="1"/>
    <col min="10508" max="10510" width="11.44140625" style="4"/>
    <col min="10511" max="10511" width="9.109375" style="4" customWidth="1"/>
    <col min="10512" max="10512" width="11.44140625" style="4"/>
    <col min="10513" max="10513" width="12.6640625" style="4" customWidth="1"/>
    <col min="10514" max="10752" width="11.44140625" style="4"/>
    <col min="10753" max="10753" width="21" style="4" customWidth="1"/>
    <col min="10754" max="10754" width="10.109375" style="4" customWidth="1"/>
    <col min="10755" max="10755" width="3.21875" style="4" customWidth="1"/>
    <col min="10756" max="10756" width="10.33203125" style="4" customWidth="1"/>
    <col min="10757" max="10757" width="10.21875" style="4" customWidth="1"/>
    <col min="10758" max="10758" width="11.6640625" style="4" customWidth="1"/>
    <col min="10759" max="10759" width="10.33203125" style="4" customWidth="1"/>
    <col min="10760" max="10760" width="11.5546875" style="4" customWidth="1"/>
    <col min="10761" max="10762" width="15.109375" style="4" customWidth="1"/>
    <col min="10763" max="10763" width="6.21875" style="4" customWidth="1"/>
    <col min="10764" max="10766" width="11.44140625" style="4"/>
    <col min="10767" max="10767" width="9.109375" style="4" customWidth="1"/>
    <col min="10768" max="10768" width="11.44140625" style="4"/>
    <col min="10769" max="10769" width="12.6640625" style="4" customWidth="1"/>
    <col min="10770" max="11008" width="11.44140625" style="4"/>
    <col min="11009" max="11009" width="21" style="4" customWidth="1"/>
    <col min="11010" max="11010" width="10.109375" style="4" customWidth="1"/>
    <col min="11011" max="11011" width="3.21875" style="4" customWidth="1"/>
    <col min="11012" max="11012" width="10.33203125" style="4" customWidth="1"/>
    <col min="11013" max="11013" width="10.21875" style="4" customWidth="1"/>
    <col min="11014" max="11014" width="11.6640625" style="4" customWidth="1"/>
    <col min="11015" max="11015" width="10.33203125" style="4" customWidth="1"/>
    <col min="11016" max="11016" width="11.5546875" style="4" customWidth="1"/>
    <col min="11017" max="11018" width="15.109375" style="4" customWidth="1"/>
    <col min="11019" max="11019" width="6.21875" style="4" customWidth="1"/>
    <col min="11020" max="11022" width="11.44140625" style="4"/>
    <col min="11023" max="11023" width="9.109375" style="4" customWidth="1"/>
    <col min="11024" max="11024" width="11.44140625" style="4"/>
    <col min="11025" max="11025" width="12.6640625" style="4" customWidth="1"/>
    <col min="11026" max="11264" width="11.44140625" style="4"/>
    <col min="11265" max="11265" width="21" style="4" customWidth="1"/>
    <col min="11266" max="11266" width="10.109375" style="4" customWidth="1"/>
    <col min="11267" max="11267" width="3.21875" style="4" customWidth="1"/>
    <col min="11268" max="11268" width="10.33203125" style="4" customWidth="1"/>
    <col min="11269" max="11269" width="10.21875" style="4" customWidth="1"/>
    <col min="11270" max="11270" width="11.6640625" style="4" customWidth="1"/>
    <col min="11271" max="11271" width="10.33203125" style="4" customWidth="1"/>
    <col min="11272" max="11272" width="11.5546875" style="4" customWidth="1"/>
    <col min="11273" max="11274" width="15.109375" style="4" customWidth="1"/>
    <col min="11275" max="11275" width="6.21875" style="4" customWidth="1"/>
    <col min="11276" max="11278" width="11.44140625" style="4"/>
    <col min="11279" max="11279" width="9.109375" style="4" customWidth="1"/>
    <col min="11280" max="11280" width="11.44140625" style="4"/>
    <col min="11281" max="11281" width="12.6640625" style="4" customWidth="1"/>
    <col min="11282" max="11520" width="11.44140625" style="4"/>
    <col min="11521" max="11521" width="21" style="4" customWidth="1"/>
    <col min="11522" max="11522" width="10.109375" style="4" customWidth="1"/>
    <col min="11523" max="11523" width="3.21875" style="4" customWidth="1"/>
    <col min="11524" max="11524" width="10.33203125" style="4" customWidth="1"/>
    <col min="11525" max="11525" width="10.21875" style="4" customWidth="1"/>
    <col min="11526" max="11526" width="11.6640625" style="4" customWidth="1"/>
    <col min="11527" max="11527" width="10.33203125" style="4" customWidth="1"/>
    <col min="11528" max="11528" width="11.5546875" style="4" customWidth="1"/>
    <col min="11529" max="11530" width="15.109375" style="4" customWidth="1"/>
    <col min="11531" max="11531" width="6.21875" style="4" customWidth="1"/>
    <col min="11532" max="11534" width="11.44140625" style="4"/>
    <col min="11535" max="11535" width="9.109375" style="4" customWidth="1"/>
    <col min="11536" max="11536" width="11.44140625" style="4"/>
    <col min="11537" max="11537" width="12.6640625" style="4" customWidth="1"/>
    <col min="11538" max="11776" width="11.44140625" style="4"/>
    <col min="11777" max="11777" width="21" style="4" customWidth="1"/>
    <col min="11778" max="11778" width="10.109375" style="4" customWidth="1"/>
    <col min="11779" max="11779" width="3.21875" style="4" customWidth="1"/>
    <col min="11780" max="11780" width="10.33203125" style="4" customWidth="1"/>
    <col min="11781" max="11781" width="10.21875" style="4" customWidth="1"/>
    <col min="11782" max="11782" width="11.6640625" style="4" customWidth="1"/>
    <col min="11783" max="11783" width="10.33203125" style="4" customWidth="1"/>
    <col min="11784" max="11784" width="11.5546875" style="4" customWidth="1"/>
    <col min="11785" max="11786" width="15.109375" style="4" customWidth="1"/>
    <col min="11787" max="11787" width="6.21875" style="4" customWidth="1"/>
    <col min="11788" max="11790" width="11.44140625" style="4"/>
    <col min="11791" max="11791" width="9.109375" style="4" customWidth="1"/>
    <col min="11792" max="11792" width="11.44140625" style="4"/>
    <col min="11793" max="11793" width="12.6640625" style="4" customWidth="1"/>
    <col min="11794" max="12032" width="11.44140625" style="4"/>
    <col min="12033" max="12033" width="21" style="4" customWidth="1"/>
    <col min="12034" max="12034" width="10.109375" style="4" customWidth="1"/>
    <col min="12035" max="12035" width="3.21875" style="4" customWidth="1"/>
    <col min="12036" max="12036" width="10.33203125" style="4" customWidth="1"/>
    <col min="12037" max="12037" width="10.21875" style="4" customWidth="1"/>
    <col min="12038" max="12038" width="11.6640625" style="4" customWidth="1"/>
    <col min="12039" max="12039" width="10.33203125" style="4" customWidth="1"/>
    <col min="12040" max="12040" width="11.5546875" style="4" customWidth="1"/>
    <col min="12041" max="12042" width="15.109375" style="4" customWidth="1"/>
    <col min="12043" max="12043" width="6.21875" style="4" customWidth="1"/>
    <col min="12044" max="12046" width="11.44140625" style="4"/>
    <col min="12047" max="12047" width="9.109375" style="4" customWidth="1"/>
    <col min="12048" max="12048" width="11.44140625" style="4"/>
    <col min="12049" max="12049" width="12.6640625" style="4" customWidth="1"/>
    <col min="12050" max="12288" width="11.44140625" style="4"/>
    <col min="12289" max="12289" width="21" style="4" customWidth="1"/>
    <col min="12290" max="12290" width="10.109375" style="4" customWidth="1"/>
    <col min="12291" max="12291" width="3.21875" style="4" customWidth="1"/>
    <col min="12292" max="12292" width="10.33203125" style="4" customWidth="1"/>
    <col min="12293" max="12293" width="10.21875" style="4" customWidth="1"/>
    <col min="12294" max="12294" width="11.6640625" style="4" customWidth="1"/>
    <col min="12295" max="12295" width="10.33203125" style="4" customWidth="1"/>
    <col min="12296" max="12296" width="11.5546875" style="4" customWidth="1"/>
    <col min="12297" max="12298" width="15.109375" style="4" customWidth="1"/>
    <col min="12299" max="12299" width="6.21875" style="4" customWidth="1"/>
    <col min="12300" max="12302" width="11.44140625" style="4"/>
    <col min="12303" max="12303" width="9.109375" style="4" customWidth="1"/>
    <col min="12304" max="12304" width="11.44140625" style="4"/>
    <col min="12305" max="12305" width="12.6640625" style="4" customWidth="1"/>
    <col min="12306" max="12544" width="11.44140625" style="4"/>
    <col min="12545" max="12545" width="21" style="4" customWidth="1"/>
    <col min="12546" max="12546" width="10.109375" style="4" customWidth="1"/>
    <col min="12547" max="12547" width="3.21875" style="4" customWidth="1"/>
    <col min="12548" max="12548" width="10.33203125" style="4" customWidth="1"/>
    <col min="12549" max="12549" width="10.21875" style="4" customWidth="1"/>
    <col min="12550" max="12550" width="11.6640625" style="4" customWidth="1"/>
    <col min="12551" max="12551" width="10.33203125" style="4" customWidth="1"/>
    <col min="12552" max="12552" width="11.5546875" style="4" customWidth="1"/>
    <col min="12553" max="12554" width="15.109375" style="4" customWidth="1"/>
    <col min="12555" max="12555" width="6.21875" style="4" customWidth="1"/>
    <col min="12556" max="12558" width="11.44140625" style="4"/>
    <col min="12559" max="12559" width="9.109375" style="4" customWidth="1"/>
    <col min="12560" max="12560" width="11.44140625" style="4"/>
    <col min="12561" max="12561" width="12.6640625" style="4" customWidth="1"/>
    <col min="12562" max="12800" width="11.44140625" style="4"/>
    <col min="12801" max="12801" width="21" style="4" customWidth="1"/>
    <col min="12802" max="12802" width="10.109375" style="4" customWidth="1"/>
    <col min="12803" max="12803" width="3.21875" style="4" customWidth="1"/>
    <col min="12804" max="12804" width="10.33203125" style="4" customWidth="1"/>
    <col min="12805" max="12805" width="10.21875" style="4" customWidth="1"/>
    <col min="12806" max="12806" width="11.6640625" style="4" customWidth="1"/>
    <col min="12807" max="12807" width="10.33203125" style="4" customWidth="1"/>
    <col min="12808" max="12808" width="11.5546875" style="4" customWidth="1"/>
    <col min="12809" max="12810" width="15.109375" style="4" customWidth="1"/>
    <col min="12811" max="12811" width="6.21875" style="4" customWidth="1"/>
    <col min="12812" max="12814" width="11.44140625" style="4"/>
    <col min="12815" max="12815" width="9.109375" style="4" customWidth="1"/>
    <col min="12816" max="12816" width="11.44140625" style="4"/>
    <col min="12817" max="12817" width="12.6640625" style="4" customWidth="1"/>
    <col min="12818" max="13056" width="11.44140625" style="4"/>
    <col min="13057" max="13057" width="21" style="4" customWidth="1"/>
    <col min="13058" max="13058" width="10.109375" style="4" customWidth="1"/>
    <col min="13059" max="13059" width="3.21875" style="4" customWidth="1"/>
    <col min="13060" max="13060" width="10.33203125" style="4" customWidth="1"/>
    <col min="13061" max="13061" width="10.21875" style="4" customWidth="1"/>
    <col min="13062" max="13062" width="11.6640625" style="4" customWidth="1"/>
    <col min="13063" max="13063" width="10.33203125" style="4" customWidth="1"/>
    <col min="13064" max="13064" width="11.5546875" style="4" customWidth="1"/>
    <col min="13065" max="13066" width="15.109375" style="4" customWidth="1"/>
    <col min="13067" max="13067" width="6.21875" style="4" customWidth="1"/>
    <col min="13068" max="13070" width="11.44140625" style="4"/>
    <col min="13071" max="13071" width="9.109375" style="4" customWidth="1"/>
    <col min="13072" max="13072" width="11.44140625" style="4"/>
    <col min="13073" max="13073" width="12.6640625" style="4" customWidth="1"/>
    <col min="13074" max="13312" width="11.44140625" style="4"/>
    <col min="13313" max="13313" width="21" style="4" customWidth="1"/>
    <col min="13314" max="13314" width="10.109375" style="4" customWidth="1"/>
    <col min="13315" max="13315" width="3.21875" style="4" customWidth="1"/>
    <col min="13316" max="13316" width="10.33203125" style="4" customWidth="1"/>
    <col min="13317" max="13317" width="10.21875" style="4" customWidth="1"/>
    <col min="13318" max="13318" width="11.6640625" style="4" customWidth="1"/>
    <col min="13319" max="13319" width="10.33203125" style="4" customWidth="1"/>
    <col min="13320" max="13320" width="11.5546875" style="4" customWidth="1"/>
    <col min="13321" max="13322" width="15.109375" style="4" customWidth="1"/>
    <col min="13323" max="13323" width="6.21875" style="4" customWidth="1"/>
    <col min="13324" max="13326" width="11.44140625" style="4"/>
    <col min="13327" max="13327" width="9.109375" style="4" customWidth="1"/>
    <col min="13328" max="13328" width="11.44140625" style="4"/>
    <col min="13329" max="13329" width="12.6640625" style="4" customWidth="1"/>
    <col min="13330" max="13568" width="11.44140625" style="4"/>
    <col min="13569" max="13569" width="21" style="4" customWidth="1"/>
    <col min="13570" max="13570" width="10.109375" style="4" customWidth="1"/>
    <col min="13571" max="13571" width="3.21875" style="4" customWidth="1"/>
    <col min="13572" max="13572" width="10.33203125" style="4" customWidth="1"/>
    <col min="13573" max="13573" width="10.21875" style="4" customWidth="1"/>
    <col min="13574" max="13574" width="11.6640625" style="4" customWidth="1"/>
    <col min="13575" max="13575" width="10.33203125" style="4" customWidth="1"/>
    <col min="13576" max="13576" width="11.5546875" style="4" customWidth="1"/>
    <col min="13577" max="13578" width="15.109375" style="4" customWidth="1"/>
    <col min="13579" max="13579" width="6.21875" style="4" customWidth="1"/>
    <col min="13580" max="13582" width="11.44140625" style="4"/>
    <col min="13583" max="13583" width="9.109375" style="4" customWidth="1"/>
    <col min="13584" max="13584" width="11.44140625" style="4"/>
    <col min="13585" max="13585" width="12.6640625" style="4" customWidth="1"/>
    <col min="13586" max="13824" width="11.44140625" style="4"/>
    <col min="13825" max="13825" width="21" style="4" customWidth="1"/>
    <col min="13826" max="13826" width="10.109375" style="4" customWidth="1"/>
    <col min="13827" max="13827" width="3.21875" style="4" customWidth="1"/>
    <col min="13828" max="13828" width="10.33203125" style="4" customWidth="1"/>
    <col min="13829" max="13829" width="10.21875" style="4" customWidth="1"/>
    <col min="13830" max="13830" width="11.6640625" style="4" customWidth="1"/>
    <col min="13831" max="13831" width="10.33203125" style="4" customWidth="1"/>
    <col min="13832" max="13832" width="11.5546875" style="4" customWidth="1"/>
    <col min="13833" max="13834" width="15.109375" style="4" customWidth="1"/>
    <col min="13835" max="13835" width="6.21875" style="4" customWidth="1"/>
    <col min="13836" max="13838" width="11.44140625" style="4"/>
    <col min="13839" max="13839" width="9.109375" style="4" customWidth="1"/>
    <col min="13840" max="13840" width="11.44140625" style="4"/>
    <col min="13841" max="13841" width="12.6640625" style="4" customWidth="1"/>
    <col min="13842" max="14080" width="11.44140625" style="4"/>
    <col min="14081" max="14081" width="21" style="4" customWidth="1"/>
    <col min="14082" max="14082" width="10.109375" style="4" customWidth="1"/>
    <col min="14083" max="14083" width="3.21875" style="4" customWidth="1"/>
    <col min="14084" max="14084" width="10.33203125" style="4" customWidth="1"/>
    <col min="14085" max="14085" width="10.21875" style="4" customWidth="1"/>
    <col min="14086" max="14086" width="11.6640625" style="4" customWidth="1"/>
    <col min="14087" max="14087" width="10.33203125" style="4" customWidth="1"/>
    <col min="14088" max="14088" width="11.5546875" style="4" customWidth="1"/>
    <col min="14089" max="14090" width="15.109375" style="4" customWidth="1"/>
    <col min="14091" max="14091" width="6.21875" style="4" customWidth="1"/>
    <col min="14092" max="14094" width="11.44140625" style="4"/>
    <col min="14095" max="14095" width="9.109375" style="4" customWidth="1"/>
    <col min="14096" max="14096" width="11.44140625" style="4"/>
    <col min="14097" max="14097" width="12.6640625" style="4" customWidth="1"/>
    <col min="14098" max="14336" width="11.44140625" style="4"/>
    <col min="14337" max="14337" width="21" style="4" customWidth="1"/>
    <col min="14338" max="14338" width="10.109375" style="4" customWidth="1"/>
    <col min="14339" max="14339" width="3.21875" style="4" customWidth="1"/>
    <col min="14340" max="14340" width="10.33203125" style="4" customWidth="1"/>
    <col min="14341" max="14341" width="10.21875" style="4" customWidth="1"/>
    <col min="14342" max="14342" width="11.6640625" style="4" customWidth="1"/>
    <col min="14343" max="14343" width="10.33203125" style="4" customWidth="1"/>
    <col min="14344" max="14344" width="11.5546875" style="4" customWidth="1"/>
    <col min="14345" max="14346" width="15.109375" style="4" customWidth="1"/>
    <col min="14347" max="14347" width="6.21875" style="4" customWidth="1"/>
    <col min="14348" max="14350" width="11.44140625" style="4"/>
    <col min="14351" max="14351" width="9.109375" style="4" customWidth="1"/>
    <col min="14352" max="14352" width="11.44140625" style="4"/>
    <col min="14353" max="14353" width="12.6640625" style="4" customWidth="1"/>
    <col min="14354" max="14592" width="11.44140625" style="4"/>
    <col min="14593" max="14593" width="21" style="4" customWidth="1"/>
    <col min="14594" max="14594" width="10.109375" style="4" customWidth="1"/>
    <col min="14595" max="14595" width="3.21875" style="4" customWidth="1"/>
    <col min="14596" max="14596" width="10.33203125" style="4" customWidth="1"/>
    <col min="14597" max="14597" width="10.21875" style="4" customWidth="1"/>
    <col min="14598" max="14598" width="11.6640625" style="4" customWidth="1"/>
    <col min="14599" max="14599" width="10.33203125" style="4" customWidth="1"/>
    <col min="14600" max="14600" width="11.5546875" style="4" customWidth="1"/>
    <col min="14601" max="14602" width="15.109375" style="4" customWidth="1"/>
    <col min="14603" max="14603" width="6.21875" style="4" customWidth="1"/>
    <col min="14604" max="14606" width="11.44140625" style="4"/>
    <col min="14607" max="14607" width="9.109375" style="4" customWidth="1"/>
    <col min="14608" max="14608" width="11.44140625" style="4"/>
    <col min="14609" max="14609" width="12.6640625" style="4" customWidth="1"/>
    <col min="14610" max="14848" width="11.44140625" style="4"/>
    <col min="14849" max="14849" width="21" style="4" customWidth="1"/>
    <col min="14850" max="14850" width="10.109375" style="4" customWidth="1"/>
    <col min="14851" max="14851" width="3.21875" style="4" customWidth="1"/>
    <col min="14852" max="14852" width="10.33203125" style="4" customWidth="1"/>
    <col min="14853" max="14853" width="10.21875" style="4" customWidth="1"/>
    <col min="14854" max="14854" width="11.6640625" style="4" customWidth="1"/>
    <col min="14855" max="14855" width="10.33203125" style="4" customWidth="1"/>
    <col min="14856" max="14856" width="11.5546875" style="4" customWidth="1"/>
    <col min="14857" max="14858" width="15.109375" style="4" customWidth="1"/>
    <col min="14859" max="14859" width="6.21875" style="4" customWidth="1"/>
    <col min="14860" max="14862" width="11.44140625" style="4"/>
    <col min="14863" max="14863" width="9.109375" style="4" customWidth="1"/>
    <col min="14864" max="14864" width="11.44140625" style="4"/>
    <col min="14865" max="14865" width="12.6640625" style="4" customWidth="1"/>
    <col min="14866" max="15104" width="11.44140625" style="4"/>
    <col min="15105" max="15105" width="21" style="4" customWidth="1"/>
    <col min="15106" max="15106" width="10.109375" style="4" customWidth="1"/>
    <col min="15107" max="15107" width="3.21875" style="4" customWidth="1"/>
    <col min="15108" max="15108" width="10.33203125" style="4" customWidth="1"/>
    <col min="15109" max="15109" width="10.21875" style="4" customWidth="1"/>
    <col min="15110" max="15110" width="11.6640625" style="4" customWidth="1"/>
    <col min="15111" max="15111" width="10.33203125" style="4" customWidth="1"/>
    <col min="15112" max="15112" width="11.5546875" style="4" customWidth="1"/>
    <col min="15113" max="15114" width="15.109375" style="4" customWidth="1"/>
    <col min="15115" max="15115" width="6.21875" style="4" customWidth="1"/>
    <col min="15116" max="15118" width="11.44140625" style="4"/>
    <col min="15119" max="15119" width="9.109375" style="4" customWidth="1"/>
    <col min="15120" max="15120" width="11.44140625" style="4"/>
    <col min="15121" max="15121" width="12.6640625" style="4" customWidth="1"/>
    <col min="15122" max="15360" width="11.44140625" style="4"/>
    <col min="15361" max="15361" width="21" style="4" customWidth="1"/>
    <col min="15362" max="15362" width="10.109375" style="4" customWidth="1"/>
    <col min="15363" max="15363" width="3.21875" style="4" customWidth="1"/>
    <col min="15364" max="15364" width="10.33203125" style="4" customWidth="1"/>
    <col min="15365" max="15365" width="10.21875" style="4" customWidth="1"/>
    <col min="15366" max="15366" width="11.6640625" style="4" customWidth="1"/>
    <col min="15367" max="15367" width="10.33203125" style="4" customWidth="1"/>
    <col min="15368" max="15368" width="11.5546875" style="4" customWidth="1"/>
    <col min="15369" max="15370" width="15.109375" style="4" customWidth="1"/>
    <col min="15371" max="15371" width="6.21875" style="4" customWidth="1"/>
    <col min="15372" max="15374" width="11.44140625" style="4"/>
    <col min="15375" max="15375" width="9.109375" style="4" customWidth="1"/>
    <col min="15376" max="15376" width="11.44140625" style="4"/>
    <col min="15377" max="15377" width="12.6640625" style="4" customWidth="1"/>
    <col min="15378" max="15616" width="11.44140625" style="4"/>
    <col min="15617" max="15617" width="21" style="4" customWidth="1"/>
    <col min="15618" max="15618" width="10.109375" style="4" customWidth="1"/>
    <col min="15619" max="15619" width="3.21875" style="4" customWidth="1"/>
    <col min="15620" max="15620" width="10.33203125" style="4" customWidth="1"/>
    <col min="15621" max="15621" width="10.21875" style="4" customWidth="1"/>
    <col min="15622" max="15622" width="11.6640625" style="4" customWidth="1"/>
    <col min="15623" max="15623" width="10.33203125" style="4" customWidth="1"/>
    <col min="15624" max="15624" width="11.5546875" style="4" customWidth="1"/>
    <col min="15625" max="15626" width="15.109375" style="4" customWidth="1"/>
    <col min="15627" max="15627" width="6.21875" style="4" customWidth="1"/>
    <col min="15628" max="15630" width="11.44140625" style="4"/>
    <col min="15631" max="15631" width="9.109375" style="4" customWidth="1"/>
    <col min="15632" max="15632" width="11.44140625" style="4"/>
    <col min="15633" max="15633" width="12.6640625" style="4" customWidth="1"/>
    <col min="15634" max="15872" width="11.44140625" style="4"/>
    <col min="15873" max="15873" width="21" style="4" customWidth="1"/>
    <col min="15874" max="15874" width="10.109375" style="4" customWidth="1"/>
    <col min="15875" max="15875" width="3.21875" style="4" customWidth="1"/>
    <col min="15876" max="15876" width="10.33203125" style="4" customWidth="1"/>
    <col min="15877" max="15877" width="10.21875" style="4" customWidth="1"/>
    <col min="15878" max="15878" width="11.6640625" style="4" customWidth="1"/>
    <col min="15879" max="15879" width="10.33203125" style="4" customWidth="1"/>
    <col min="15880" max="15880" width="11.5546875" style="4" customWidth="1"/>
    <col min="15881" max="15882" width="15.109375" style="4" customWidth="1"/>
    <col min="15883" max="15883" width="6.21875" style="4" customWidth="1"/>
    <col min="15884" max="15886" width="11.44140625" style="4"/>
    <col min="15887" max="15887" width="9.109375" style="4" customWidth="1"/>
    <col min="15888" max="15888" width="11.44140625" style="4"/>
    <col min="15889" max="15889" width="12.6640625" style="4" customWidth="1"/>
    <col min="15890" max="16128" width="11.44140625" style="4"/>
    <col min="16129" max="16129" width="21" style="4" customWidth="1"/>
    <col min="16130" max="16130" width="10.109375" style="4" customWidth="1"/>
    <col min="16131" max="16131" width="3.21875" style="4" customWidth="1"/>
    <col min="16132" max="16132" width="10.33203125" style="4" customWidth="1"/>
    <col min="16133" max="16133" width="10.21875" style="4" customWidth="1"/>
    <col min="16134" max="16134" width="11.6640625" style="4" customWidth="1"/>
    <col min="16135" max="16135" width="10.33203125" style="4" customWidth="1"/>
    <col min="16136" max="16136" width="11.5546875" style="4" customWidth="1"/>
    <col min="16137" max="16138" width="15.109375" style="4" customWidth="1"/>
    <col min="16139" max="16139" width="6.21875" style="4" customWidth="1"/>
    <col min="16140" max="16142" width="11.44140625" style="4"/>
    <col min="16143" max="16143" width="9.109375" style="4" customWidth="1"/>
    <col min="16144" max="16144" width="11.44140625" style="4"/>
    <col min="16145" max="16145" width="12.6640625" style="4" customWidth="1"/>
    <col min="16146" max="16384" width="11.44140625" style="4"/>
  </cols>
  <sheetData>
    <row r="1" spans="1:26" ht="75.75" customHeight="1" x14ac:dyDescent="0.25">
      <c r="K1" s="6"/>
    </row>
    <row r="2" spans="1:26" ht="19.5" customHeight="1" x14ac:dyDescent="0.35">
      <c r="A2" s="7">
        <v>2011</v>
      </c>
      <c r="B2" s="8"/>
      <c r="C2" s="8"/>
      <c r="D2" s="8"/>
      <c r="E2" s="8"/>
      <c r="F2" s="9"/>
      <c r="G2" s="8"/>
      <c r="H2" s="10"/>
      <c r="I2" s="10"/>
      <c r="J2" s="10" t="s">
        <v>3</v>
      </c>
      <c r="K2" s="6"/>
      <c r="U2" s="11" t="s">
        <v>4</v>
      </c>
    </row>
    <row r="3" spans="1:26" ht="27" customHeight="1" x14ac:dyDescent="0.4">
      <c r="A3" s="315" t="s">
        <v>5</v>
      </c>
      <c r="B3" s="316"/>
      <c r="C3" s="316"/>
      <c r="D3" s="316"/>
      <c r="E3" s="316"/>
      <c r="F3" s="316"/>
      <c r="G3" s="316"/>
      <c r="H3" s="316"/>
      <c r="I3" s="316"/>
      <c r="J3" s="316"/>
      <c r="K3" s="6"/>
      <c r="U3" s="11"/>
    </row>
    <row r="4" spans="1:26" ht="27" customHeight="1" x14ac:dyDescent="0.35">
      <c r="A4" s="12"/>
      <c r="B4" s="13"/>
      <c r="C4" s="13"/>
      <c r="E4" s="14">
        <v>100</v>
      </c>
      <c r="F4" s="15" t="s">
        <v>6</v>
      </c>
      <c r="G4" s="5"/>
      <c r="I4" s="16"/>
      <c r="J4" s="16"/>
      <c r="K4" s="6"/>
      <c r="U4" s="11"/>
    </row>
    <row r="5" spans="1:26" ht="19.5" customHeight="1" x14ac:dyDescent="0.25">
      <c r="A5" s="14">
        <v>90</v>
      </c>
      <c r="B5" s="15" t="s">
        <v>7</v>
      </c>
      <c r="F5" s="4"/>
      <c r="G5" s="14">
        <v>85</v>
      </c>
      <c r="H5" s="15" t="s">
        <v>8</v>
      </c>
      <c r="I5" s="17"/>
      <c r="J5" s="17"/>
      <c r="K5" s="6"/>
      <c r="M5" s="11"/>
      <c r="U5" s="11"/>
    </row>
    <row r="6" spans="1:26" ht="19.5" customHeight="1" x14ac:dyDescent="0.25">
      <c r="A6" s="14">
        <v>40</v>
      </c>
      <c r="B6" s="15" t="s">
        <v>9</v>
      </c>
      <c r="C6" s="5"/>
      <c r="D6" s="18"/>
      <c r="G6" s="14">
        <v>30</v>
      </c>
      <c r="H6" s="15" t="s">
        <v>10</v>
      </c>
      <c r="I6" s="17"/>
      <c r="J6" s="17"/>
      <c r="K6" s="6"/>
      <c r="M6" s="11"/>
      <c r="U6" s="11"/>
    </row>
    <row r="7" spans="1:26" ht="19.5" customHeight="1" x14ac:dyDescent="0.3">
      <c r="A7" s="14">
        <v>14</v>
      </c>
      <c r="B7" s="325" t="s">
        <v>11</v>
      </c>
      <c r="C7" s="326"/>
      <c r="D7" s="326"/>
      <c r="E7" s="19"/>
      <c r="F7" s="19"/>
      <c r="G7" s="20">
        <v>1</v>
      </c>
      <c r="H7" s="15" t="s">
        <v>12</v>
      </c>
      <c r="I7" s="21"/>
      <c r="J7" s="17"/>
      <c r="K7" s="6"/>
      <c r="M7" s="11"/>
      <c r="U7" s="11"/>
    </row>
    <row r="8" spans="1:26" ht="9.75" customHeight="1" x14ac:dyDescent="0.25">
      <c r="A8" s="17"/>
      <c r="B8" s="17"/>
      <c r="C8" s="17"/>
      <c r="D8" s="17"/>
      <c r="E8" s="17"/>
      <c r="F8" s="17"/>
      <c r="G8" s="17"/>
      <c r="H8" s="17"/>
      <c r="I8" s="22"/>
      <c r="J8" s="17"/>
      <c r="K8" s="6"/>
    </row>
    <row r="9" spans="1:26" x14ac:dyDescent="0.25">
      <c r="A9" s="23" t="s">
        <v>13</v>
      </c>
      <c r="B9" s="24" t="s">
        <v>14</v>
      </c>
      <c r="C9" s="25"/>
      <c r="D9" s="24" t="s">
        <v>15</v>
      </c>
      <c r="E9" s="26" t="s">
        <v>16</v>
      </c>
      <c r="F9" s="27" t="s">
        <v>17</v>
      </c>
      <c r="G9" s="28"/>
      <c r="H9" s="27" t="s">
        <v>18</v>
      </c>
      <c r="I9" s="27" t="s">
        <v>19</v>
      </c>
      <c r="J9" s="26" t="s">
        <v>20</v>
      </c>
      <c r="K9" s="6"/>
      <c r="M9" s="11"/>
      <c r="U9" s="11" t="s">
        <v>4</v>
      </c>
    </row>
    <row r="10" spans="1:26" ht="18" customHeight="1" x14ac:dyDescent="0.25">
      <c r="A10" s="15" t="s">
        <v>21</v>
      </c>
      <c r="B10" s="17"/>
      <c r="C10" s="29"/>
      <c r="D10" s="17"/>
      <c r="E10" s="30"/>
      <c r="F10" s="17"/>
      <c r="G10" s="17"/>
      <c r="H10" s="17"/>
      <c r="I10" s="17"/>
      <c r="J10" s="30"/>
      <c r="K10" s="6"/>
    </row>
    <row r="11" spans="1:26" x14ac:dyDescent="0.25">
      <c r="A11" s="31" t="s">
        <v>22</v>
      </c>
      <c r="B11" s="32">
        <f>ROUND(((E4)*(G5/100)/2)+0.5,0)</f>
        <v>43</v>
      </c>
      <c r="C11" s="33" t="s">
        <v>23</v>
      </c>
      <c r="D11" s="34">
        <v>6</v>
      </c>
      <c r="E11" s="35" t="s">
        <v>24</v>
      </c>
      <c r="F11" s="36">
        <v>135</v>
      </c>
      <c r="G11" s="17"/>
      <c r="H11" s="37">
        <f>B11*D11</f>
        <v>258</v>
      </c>
      <c r="I11" s="38">
        <f>F11*H11</f>
        <v>34830</v>
      </c>
      <c r="J11" s="35" t="s">
        <v>25</v>
      </c>
      <c r="K11" s="6"/>
    </row>
    <row r="12" spans="1:26" x14ac:dyDescent="0.25">
      <c r="A12" s="31" t="s">
        <v>26</v>
      </c>
      <c r="B12" s="32">
        <f>ROUND(((E4*(G5/100)/2)*(1-(G6/100)))-0.5,0)</f>
        <v>29</v>
      </c>
      <c r="C12" s="33" t="s">
        <v>23</v>
      </c>
      <c r="D12" s="34">
        <v>5.5</v>
      </c>
      <c r="E12" s="35" t="s">
        <v>24</v>
      </c>
      <c r="F12" s="36">
        <v>125</v>
      </c>
      <c r="G12" s="17"/>
      <c r="H12" s="37">
        <f>B12*D12</f>
        <v>159.5</v>
      </c>
      <c r="I12" s="38">
        <f>F12*H12</f>
        <v>19937.5</v>
      </c>
      <c r="J12" s="35" t="s">
        <v>25</v>
      </c>
      <c r="K12" s="6"/>
      <c r="M12" s="11"/>
      <c r="U12" s="11" t="s">
        <v>4</v>
      </c>
    </row>
    <row r="13" spans="1:26" x14ac:dyDescent="0.25">
      <c r="A13" s="31" t="s">
        <v>27</v>
      </c>
      <c r="B13" s="39">
        <f>ROUND(((((A7-G7)/100)*E4)+0.25),0)</f>
        <v>13</v>
      </c>
      <c r="C13" s="33" t="s">
        <v>23</v>
      </c>
      <c r="D13" s="34">
        <v>11.5</v>
      </c>
      <c r="E13" s="35" t="s">
        <v>24</v>
      </c>
      <c r="F13" s="36">
        <v>55</v>
      </c>
      <c r="G13" s="17"/>
      <c r="H13" s="37">
        <f>B13*D13</f>
        <v>149.5</v>
      </c>
      <c r="I13" s="38">
        <f>F13*H13</f>
        <v>8222.5</v>
      </c>
      <c r="J13" s="35" t="s">
        <v>25</v>
      </c>
      <c r="K13" s="6"/>
      <c r="L13" s="40"/>
      <c r="N13" s="40"/>
      <c r="U13" s="11" t="s">
        <v>4</v>
      </c>
      <c r="Z13" s="41" t="s">
        <v>4</v>
      </c>
    </row>
    <row r="14" spans="1:26" x14ac:dyDescent="0.25">
      <c r="A14" s="31" t="s">
        <v>28</v>
      </c>
      <c r="B14" s="39">
        <f>ROUND(((E4/A6*0.33)+0.25),0)</f>
        <v>1</v>
      </c>
      <c r="C14" s="33" t="s">
        <v>23</v>
      </c>
      <c r="D14" s="34">
        <v>17</v>
      </c>
      <c r="E14" s="35" t="s">
        <v>24</v>
      </c>
      <c r="F14" s="36">
        <v>65</v>
      </c>
      <c r="G14" s="17"/>
      <c r="H14" s="37">
        <f>B14*D14</f>
        <v>17</v>
      </c>
      <c r="I14" s="38">
        <f>F14*H14</f>
        <v>1105</v>
      </c>
      <c r="J14" s="35" t="s">
        <v>25</v>
      </c>
      <c r="K14" s="6"/>
      <c r="L14" s="40"/>
      <c r="M14" s="11"/>
      <c r="N14" s="40"/>
      <c r="U14" s="11" t="s">
        <v>4</v>
      </c>
      <c r="Z14" s="41" t="s">
        <v>4</v>
      </c>
    </row>
    <row r="15" spans="1:26" ht="18" customHeight="1" x14ac:dyDescent="0.25">
      <c r="A15" s="19" t="s">
        <v>29</v>
      </c>
      <c r="B15" s="39"/>
      <c r="C15" s="33"/>
      <c r="D15" s="34"/>
      <c r="E15" s="35"/>
      <c r="F15" s="42"/>
      <c r="G15" s="43">
        <f>I15/E$4</f>
        <v>640.95000000000005</v>
      </c>
      <c r="H15" s="19" t="s">
        <v>30</v>
      </c>
      <c r="I15" s="44">
        <f>SUM(I11:I14)</f>
        <v>64095</v>
      </c>
      <c r="J15" s="35" t="s">
        <v>25</v>
      </c>
      <c r="K15" s="6"/>
      <c r="L15" s="40"/>
      <c r="M15" s="11"/>
      <c r="N15" s="40"/>
      <c r="U15" s="11"/>
      <c r="Z15" s="41"/>
    </row>
    <row r="16" spans="1:26" ht="18" customHeight="1" x14ac:dyDescent="0.25">
      <c r="A16" s="15" t="s">
        <v>31</v>
      </c>
      <c r="B16" s="17"/>
      <c r="C16" s="17"/>
      <c r="D16" s="17"/>
      <c r="E16" s="30"/>
      <c r="F16" s="17"/>
      <c r="G16" s="17"/>
      <c r="H16" s="17"/>
      <c r="I16" s="17"/>
      <c r="J16" s="30"/>
      <c r="K16" s="6"/>
      <c r="L16" s="40"/>
      <c r="M16" s="11"/>
      <c r="N16" s="40"/>
      <c r="U16" s="11" t="s">
        <v>4</v>
      </c>
      <c r="Z16" s="41" t="s">
        <v>4</v>
      </c>
    </row>
    <row r="17" spans="1:26" x14ac:dyDescent="0.25">
      <c r="A17" s="17"/>
      <c r="B17" s="35" t="s">
        <v>32</v>
      </c>
      <c r="C17" s="17"/>
      <c r="E17" s="30"/>
      <c r="F17" s="17"/>
      <c r="G17" s="17"/>
      <c r="H17" s="17"/>
      <c r="I17" s="17"/>
      <c r="J17" s="30"/>
      <c r="K17" s="6"/>
      <c r="M17" s="11"/>
      <c r="U17" s="11" t="s">
        <v>4</v>
      </c>
      <c r="Z17" s="41" t="s">
        <v>4</v>
      </c>
    </row>
    <row r="18" spans="1:26" x14ac:dyDescent="0.25">
      <c r="A18" s="45" t="str">
        <f t="shared" ref="A18:A24" si="0">A71</f>
        <v xml:space="preserve"> Corn Silage</v>
      </c>
      <c r="B18" s="46">
        <v>0.05</v>
      </c>
      <c r="C18" s="17"/>
      <c r="E18" s="35" t="str">
        <f>IF(C71&gt;99,"Cwt",IF(C71&gt;0,"Bushel","Ton"))</f>
        <v>Ton</v>
      </c>
      <c r="F18" s="36">
        <v>45</v>
      </c>
      <c r="G18" s="17"/>
      <c r="H18" s="37">
        <f>IF(C71&lt;=0,(J71*(1+B18)),(J71*2000)/C71*(1+B18))</f>
        <v>0</v>
      </c>
      <c r="I18" s="38">
        <f t="shared" ref="I18:I32" si="1">F18*H18</f>
        <v>0</v>
      </c>
      <c r="J18" s="35" t="s">
        <v>25</v>
      </c>
      <c r="K18" s="6"/>
      <c r="U18" s="11" t="s">
        <v>4</v>
      </c>
    </row>
    <row r="19" spans="1:26" x14ac:dyDescent="0.25">
      <c r="A19" s="45" t="str">
        <f t="shared" si="0"/>
        <v xml:space="preserve"> Alfalfa Hay, Bloom</v>
      </c>
      <c r="B19" s="46">
        <v>0.05</v>
      </c>
      <c r="C19" s="17"/>
      <c r="E19" s="35" t="str">
        <f t="shared" ref="E19:E24" si="2">IF(C72&gt;99,"Cwt",IF(C72&gt;0,"Bushel","Ton"))</f>
        <v>Ton</v>
      </c>
      <c r="F19" s="36">
        <v>180</v>
      </c>
      <c r="G19" s="17"/>
      <c r="H19" s="37">
        <f t="shared" ref="H19:H24" si="3">IF(C72=0,(J72*(1+B19)),(J72*2000)/C72*(1+B19))</f>
        <v>0</v>
      </c>
      <c r="I19" s="38">
        <f t="shared" si="1"/>
        <v>0</v>
      </c>
      <c r="J19" s="35" t="s">
        <v>25</v>
      </c>
      <c r="K19" s="6"/>
      <c r="U19" s="11"/>
    </row>
    <row r="20" spans="1:26" x14ac:dyDescent="0.25">
      <c r="A20" s="45" t="str">
        <f t="shared" si="0"/>
        <v xml:space="preserve"> Mixed Hay, 2nd Cutting</v>
      </c>
      <c r="B20" s="46">
        <v>0.05</v>
      </c>
      <c r="C20" s="17"/>
      <c r="E20" s="35" t="str">
        <f t="shared" si="2"/>
        <v>Ton</v>
      </c>
      <c r="F20" s="36">
        <v>150</v>
      </c>
      <c r="G20" s="17"/>
      <c r="H20" s="37">
        <f t="shared" si="3"/>
        <v>0</v>
      </c>
      <c r="I20" s="38">
        <f t="shared" si="1"/>
        <v>0</v>
      </c>
      <c r="J20" s="35" t="s">
        <v>25</v>
      </c>
      <c r="K20" s="6"/>
      <c r="U20" s="11" t="s">
        <v>4</v>
      </c>
    </row>
    <row r="21" spans="1:26" x14ac:dyDescent="0.25">
      <c r="A21" s="45" t="str">
        <f t="shared" si="0"/>
        <v xml:space="preserve"> Grass Hay, Average</v>
      </c>
      <c r="B21" s="46">
        <v>0.1</v>
      </c>
      <c r="C21" s="17"/>
      <c r="E21" s="35" t="str">
        <f t="shared" si="2"/>
        <v>Ton</v>
      </c>
      <c r="F21" s="36">
        <v>100</v>
      </c>
      <c r="G21" s="17"/>
      <c r="H21" s="37">
        <f t="shared" si="3"/>
        <v>208.79100000000003</v>
      </c>
      <c r="I21" s="38">
        <f t="shared" si="1"/>
        <v>20879.100000000002</v>
      </c>
      <c r="J21" s="35" t="s">
        <v>25</v>
      </c>
      <c r="K21" s="6"/>
      <c r="M21" s="11"/>
      <c r="U21" s="11" t="s">
        <v>4</v>
      </c>
    </row>
    <row r="22" spans="1:26" x14ac:dyDescent="0.25">
      <c r="A22" s="45" t="str">
        <f t="shared" si="0"/>
        <v xml:space="preserve"> Corn Grain</v>
      </c>
      <c r="B22" s="46">
        <v>0.02</v>
      </c>
      <c r="C22" s="17"/>
      <c r="E22" s="35" t="str">
        <f t="shared" si="2"/>
        <v>Bushel</v>
      </c>
      <c r="F22" s="36">
        <v>5.5</v>
      </c>
      <c r="G22" s="17"/>
      <c r="H22" s="37">
        <f t="shared" si="3"/>
        <v>958.85919642857141</v>
      </c>
      <c r="I22" s="38">
        <f t="shared" si="1"/>
        <v>5273.7255803571425</v>
      </c>
      <c r="J22" s="35" t="s">
        <v>25</v>
      </c>
      <c r="K22" s="6"/>
      <c r="M22" s="11"/>
      <c r="U22" s="11" t="s">
        <v>4</v>
      </c>
      <c r="Z22" s="41" t="s">
        <v>4</v>
      </c>
    </row>
    <row r="23" spans="1:26" x14ac:dyDescent="0.25">
      <c r="A23" s="45" t="str">
        <f t="shared" si="0"/>
        <v xml:space="preserve"> SBOM 48%</v>
      </c>
      <c r="B23" s="46">
        <v>0.02</v>
      </c>
      <c r="C23" s="17"/>
      <c r="E23" s="35" t="str">
        <f t="shared" si="2"/>
        <v>Ton</v>
      </c>
      <c r="F23" s="36">
        <v>395</v>
      </c>
      <c r="G23" s="17"/>
      <c r="H23" s="37">
        <f t="shared" si="3"/>
        <v>0</v>
      </c>
      <c r="I23" s="38">
        <f t="shared" si="1"/>
        <v>0</v>
      </c>
      <c r="J23" s="35" t="s">
        <v>25</v>
      </c>
      <c r="K23" s="6"/>
      <c r="L23" s="40"/>
      <c r="M23" s="11"/>
      <c r="N23" s="40"/>
      <c r="U23" s="11" t="s">
        <v>4</v>
      </c>
      <c r="Z23" s="41" t="s">
        <v>4</v>
      </c>
    </row>
    <row r="24" spans="1:26" x14ac:dyDescent="0.25">
      <c r="A24" s="45" t="str">
        <f t="shared" si="0"/>
        <v xml:space="preserve"> Other Feed</v>
      </c>
      <c r="B24" s="46">
        <v>0.05</v>
      </c>
      <c r="C24" s="17"/>
      <c r="E24" s="35" t="str">
        <f t="shared" si="2"/>
        <v>Ton</v>
      </c>
      <c r="F24" s="36">
        <v>0</v>
      </c>
      <c r="G24" s="17"/>
      <c r="H24" s="37">
        <f t="shared" si="3"/>
        <v>0</v>
      </c>
      <c r="I24" s="38">
        <f t="shared" si="1"/>
        <v>0</v>
      </c>
      <c r="J24" s="35" t="s">
        <v>25</v>
      </c>
      <c r="K24" s="6"/>
      <c r="L24" s="40"/>
      <c r="M24" s="11"/>
      <c r="N24" s="40"/>
      <c r="U24" s="11" t="s">
        <v>4</v>
      </c>
      <c r="Z24" s="41" t="s">
        <v>4</v>
      </c>
    </row>
    <row r="25" spans="1:26" x14ac:dyDescent="0.25">
      <c r="A25" s="31" t="s">
        <v>33</v>
      </c>
      <c r="B25" s="17"/>
      <c r="C25" s="17"/>
      <c r="D25" s="17"/>
      <c r="E25" s="35" t="s">
        <v>24</v>
      </c>
      <c r="F25" s="36">
        <v>1.4</v>
      </c>
      <c r="G25" s="17"/>
      <c r="H25" s="34">
        <v>0</v>
      </c>
      <c r="I25" s="38">
        <f t="shared" si="1"/>
        <v>0</v>
      </c>
      <c r="J25" s="35" t="s">
        <v>25</v>
      </c>
      <c r="K25" s="6"/>
      <c r="L25" s="40"/>
      <c r="M25" s="11"/>
      <c r="N25" s="40"/>
      <c r="U25" s="11"/>
      <c r="Z25" s="41"/>
    </row>
    <row r="26" spans="1:26" x14ac:dyDescent="0.25">
      <c r="A26" s="31" t="s">
        <v>34</v>
      </c>
      <c r="B26" s="47">
        <v>68</v>
      </c>
      <c r="C26" s="17" t="s">
        <v>35</v>
      </c>
      <c r="D26" s="17"/>
      <c r="E26" s="35" t="s">
        <v>24</v>
      </c>
      <c r="F26" s="36">
        <v>22</v>
      </c>
      <c r="H26" s="37">
        <f>B26/100*E4</f>
        <v>68</v>
      </c>
      <c r="I26" s="38">
        <f t="shared" si="1"/>
        <v>1496</v>
      </c>
      <c r="J26" s="35" t="s">
        <v>25</v>
      </c>
      <c r="K26" s="6"/>
      <c r="L26" s="40"/>
      <c r="M26" s="11"/>
      <c r="N26" s="40"/>
      <c r="U26" s="11" t="s">
        <v>4</v>
      </c>
    </row>
    <row r="27" spans="1:26" x14ac:dyDescent="0.25">
      <c r="A27" s="31" t="s">
        <v>36</v>
      </c>
      <c r="B27" s="47"/>
      <c r="C27" s="17" t="s">
        <v>37</v>
      </c>
      <c r="D27" s="17"/>
      <c r="E27" s="35" t="s">
        <v>38</v>
      </c>
      <c r="F27" s="38">
        <f>J119/E4</f>
        <v>26.720100000000002</v>
      </c>
      <c r="G27" s="17"/>
      <c r="H27" s="48">
        <f>E4</f>
        <v>100</v>
      </c>
      <c r="I27" s="38">
        <f>IF(B27=N(ISNUMBER(B27)),ROUND((F27*H27),2),ROUND((B27*H27),2))</f>
        <v>2672.01</v>
      </c>
      <c r="J27" s="35" t="s">
        <v>25</v>
      </c>
      <c r="K27" s="6"/>
      <c r="L27" s="40"/>
      <c r="M27" s="11"/>
      <c r="N27" s="40"/>
      <c r="U27" s="11" t="s">
        <v>4</v>
      </c>
    </row>
    <row r="28" spans="1:26" x14ac:dyDescent="0.25">
      <c r="A28" s="31" t="s">
        <v>39</v>
      </c>
      <c r="B28" s="17"/>
      <c r="C28" s="17"/>
      <c r="D28" s="17"/>
      <c r="E28" s="35" t="s">
        <v>38</v>
      </c>
      <c r="F28" s="36">
        <v>2</v>
      </c>
      <c r="G28" s="17"/>
      <c r="H28" s="48">
        <f>E4</f>
        <v>100</v>
      </c>
      <c r="I28" s="38">
        <f t="shared" si="1"/>
        <v>200</v>
      </c>
      <c r="J28" s="35" t="s">
        <v>25</v>
      </c>
      <c r="K28" s="6"/>
      <c r="L28" s="40"/>
      <c r="M28" s="11"/>
      <c r="N28" s="40"/>
      <c r="U28" s="11"/>
    </row>
    <row r="29" spans="1:26" x14ac:dyDescent="0.25">
      <c r="A29" s="31" t="s">
        <v>40</v>
      </c>
      <c r="B29" s="17"/>
      <c r="C29" s="17"/>
      <c r="D29" s="17"/>
      <c r="E29" s="35" t="s">
        <v>38</v>
      </c>
      <c r="F29" s="36">
        <v>2500</v>
      </c>
      <c r="G29" s="17"/>
      <c r="H29" s="48">
        <f>B14</f>
        <v>1</v>
      </c>
      <c r="I29" s="38">
        <f t="shared" si="1"/>
        <v>2500</v>
      </c>
      <c r="J29" s="35" t="s">
        <v>25</v>
      </c>
      <c r="K29" s="6"/>
      <c r="L29" s="40"/>
      <c r="M29" s="11"/>
      <c r="N29" s="40"/>
      <c r="U29" s="11"/>
    </row>
    <row r="30" spans="1:26" x14ac:dyDescent="0.25">
      <c r="A30" s="31" t="s">
        <v>41</v>
      </c>
      <c r="B30" s="47"/>
      <c r="C30" s="327" t="s">
        <v>42</v>
      </c>
      <c r="D30" s="327"/>
      <c r="E30" s="35" t="s">
        <v>43</v>
      </c>
      <c r="F30" s="36">
        <v>51</v>
      </c>
      <c r="G30" s="17"/>
      <c r="H30" s="48">
        <f>B30*E4</f>
        <v>0</v>
      </c>
      <c r="I30" s="38">
        <f>F30*H30</f>
        <v>0</v>
      </c>
      <c r="J30" s="35" t="s">
        <v>25</v>
      </c>
      <c r="K30" s="6"/>
      <c r="L30" s="40"/>
      <c r="M30" s="11"/>
      <c r="N30" s="40"/>
      <c r="U30" s="11"/>
    </row>
    <row r="31" spans="1:26" x14ac:dyDescent="0.25">
      <c r="A31" s="31" t="s">
        <v>44</v>
      </c>
      <c r="B31" s="49">
        <v>2.5</v>
      </c>
      <c r="C31" s="327" t="s">
        <v>42</v>
      </c>
      <c r="D31" s="327"/>
      <c r="E31" s="35" t="s">
        <v>43</v>
      </c>
      <c r="F31" s="36">
        <v>21</v>
      </c>
      <c r="G31" s="17"/>
      <c r="H31" s="48">
        <f>B31*E4</f>
        <v>250</v>
      </c>
      <c r="I31" s="38">
        <f t="shared" si="1"/>
        <v>5250</v>
      </c>
      <c r="J31" s="35" t="s">
        <v>25</v>
      </c>
      <c r="K31" s="6"/>
      <c r="L31" s="40"/>
      <c r="M31" s="11"/>
      <c r="N31" s="40"/>
      <c r="U31" s="11"/>
    </row>
    <row r="32" spans="1:26" x14ac:dyDescent="0.25">
      <c r="A32" s="31" t="s">
        <v>45</v>
      </c>
      <c r="B32" s="17"/>
      <c r="C32" s="17"/>
      <c r="D32" s="17"/>
      <c r="E32" s="35" t="s">
        <v>38</v>
      </c>
      <c r="F32" s="36">
        <v>5.2</v>
      </c>
      <c r="G32" s="17"/>
      <c r="H32" s="48">
        <f>B13+B14</f>
        <v>14</v>
      </c>
      <c r="I32" s="38">
        <f t="shared" si="1"/>
        <v>72.8</v>
      </c>
      <c r="J32" s="35" t="s">
        <v>25</v>
      </c>
      <c r="K32" s="6"/>
      <c r="L32" s="40"/>
      <c r="M32" s="11"/>
      <c r="N32" s="40"/>
      <c r="U32" s="11"/>
    </row>
    <row r="33" spans="1:26" x14ac:dyDescent="0.25">
      <c r="A33" s="31" t="s">
        <v>46</v>
      </c>
      <c r="B33" s="50"/>
      <c r="C33" s="17" t="s">
        <v>37</v>
      </c>
      <c r="D33" s="17"/>
      <c r="E33" s="35" t="s">
        <v>38</v>
      </c>
      <c r="F33" s="51">
        <f>IF(H33=0,0,((SUM(I13:I14)*0.02+(B13+B14)*3)/H33))</f>
        <v>16.324999999999999</v>
      </c>
      <c r="G33" s="17"/>
      <c r="H33" s="48">
        <f>B13+B14</f>
        <v>14</v>
      </c>
      <c r="I33" s="38">
        <f>IF(B33=N(ISNUMBER(B33)),ROUND((F33*H33),2),ROUND((B33*H33),2))</f>
        <v>228.55</v>
      </c>
      <c r="J33" s="35" t="s">
        <v>25</v>
      </c>
      <c r="K33" s="6"/>
      <c r="L33" s="40"/>
      <c r="M33" s="11"/>
      <c r="N33" s="40"/>
      <c r="U33" s="11"/>
    </row>
    <row r="34" spans="1:26" x14ac:dyDescent="0.25">
      <c r="A34" s="31" t="s">
        <v>47</v>
      </c>
      <c r="B34" s="17"/>
      <c r="C34" s="17"/>
      <c r="D34" s="17"/>
      <c r="E34" s="35" t="s">
        <v>38</v>
      </c>
      <c r="F34" s="36">
        <v>3.75</v>
      </c>
      <c r="G34" s="17"/>
      <c r="H34" s="48">
        <f>B11+B12</f>
        <v>72</v>
      </c>
      <c r="I34" s="38">
        <f>F34*H34</f>
        <v>270</v>
      </c>
      <c r="J34" s="35" t="s">
        <v>25</v>
      </c>
      <c r="K34" s="6"/>
      <c r="L34" s="40"/>
      <c r="M34" s="11"/>
      <c r="N34" s="40"/>
      <c r="U34" s="11"/>
    </row>
    <row r="35" spans="1:26" x14ac:dyDescent="0.25">
      <c r="A35" s="31" t="s">
        <v>48</v>
      </c>
      <c r="B35" s="50"/>
      <c r="C35" s="17" t="s">
        <v>37</v>
      </c>
      <c r="D35" s="17"/>
      <c r="E35" s="35" t="s">
        <v>38</v>
      </c>
      <c r="F35" s="51">
        <f>(SUM(I11:I12)*0.02+(B11+B12)*3.5)/H35</f>
        <v>18.713194444444447</v>
      </c>
      <c r="G35" s="17"/>
      <c r="H35" s="48">
        <f>B11+B12</f>
        <v>72</v>
      </c>
      <c r="I35" s="38">
        <f>IF(B35=N(ISNUMBER(B35)),ROUND((F35*H35),2),ROUND((B35*H35),2))</f>
        <v>1347.35</v>
      </c>
      <c r="J35" s="35" t="s">
        <v>25</v>
      </c>
      <c r="K35" s="6"/>
      <c r="L35" s="40"/>
      <c r="M35" s="11"/>
      <c r="N35" s="40"/>
      <c r="U35" s="11"/>
    </row>
    <row r="36" spans="1:26" x14ac:dyDescent="0.25">
      <c r="A36" s="31" t="s">
        <v>49</v>
      </c>
      <c r="B36" s="17"/>
      <c r="C36" s="17"/>
      <c r="D36" s="17"/>
      <c r="E36" s="35" t="s">
        <v>38</v>
      </c>
      <c r="F36" s="52">
        <v>14.4</v>
      </c>
      <c r="H36" s="53">
        <f>E4</f>
        <v>100</v>
      </c>
      <c r="I36" s="38">
        <f>F36*H36</f>
        <v>1440</v>
      </c>
      <c r="J36" s="35" t="s">
        <v>25</v>
      </c>
      <c r="K36" s="6"/>
      <c r="L36" s="40"/>
      <c r="M36" s="11"/>
      <c r="N36" s="40"/>
      <c r="U36" s="11"/>
    </row>
    <row r="37" spans="1:26" x14ac:dyDescent="0.25">
      <c r="A37" s="31" t="s">
        <v>50</v>
      </c>
      <c r="B37" s="17"/>
      <c r="C37" s="17"/>
      <c r="D37" s="17"/>
      <c r="E37" s="35" t="s">
        <v>38</v>
      </c>
      <c r="F37" s="52">
        <v>3.29</v>
      </c>
      <c r="H37" s="53">
        <f>E4</f>
        <v>100</v>
      </c>
      <c r="I37" s="38">
        <f>F37*H37</f>
        <v>329</v>
      </c>
      <c r="J37" s="35" t="s">
        <v>25</v>
      </c>
      <c r="K37" s="6"/>
      <c r="L37" s="40"/>
      <c r="M37" s="11"/>
      <c r="N37" s="40"/>
      <c r="U37" s="11"/>
    </row>
    <row r="38" spans="1:26" x14ac:dyDescent="0.25">
      <c r="A38" s="31" t="s">
        <v>51</v>
      </c>
      <c r="B38" s="17"/>
      <c r="C38" s="17"/>
      <c r="D38" s="17"/>
      <c r="E38" s="35" t="s">
        <v>38</v>
      </c>
      <c r="F38" s="52">
        <v>5.72</v>
      </c>
      <c r="H38" s="53">
        <f>E4</f>
        <v>100</v>
      </c>
      <c r="I38" s="38">
        <f>F38*H38</f>
        <v>572</v>
      </c>
      <c r="J38" s="35" t="s">
        <v>25</v>
      </c>
      <c r="K38" s="6"/>
      <c r="L38" s="40"/>
      <c r="M38" s="11"/>
      <c r="N38" s="40"/>
      <c r="U38" s="11"/>
    </row>
    <row r="39" spans="1:26" x14ac:dyDescent="0.25">
      <c r="A39" s="31" t="s">
        <v>52</v>
      </c>
      <c r="B39" s="17"/>
      <c r="C39" s="17"/>
      <c r="D39" s="17"/>
      <c r="E39" s="35" t="s">
        <v>38</v>
      </c>
      <c r="F39" s="36">
        <v>14.91</v>
      </c>
      <c r="H39" s="48">
        <f>E4</f>
        <v>100</v>
      </c>
      <c r="I39" s="38">
        <f>F39*H39</f>
        <v>1491</v>
      </c>
      <c r="J39" s="35" t="s">
        <v>25</v>
      </c>
      <c r="K39" s="6"/>
    </row>
    <row r="40" spans="1:26" x14ac:dyDescent="0.25">
      <c r="A40" s="31" t="s">
        <v>53</v>
      </c>
      <c r="B40" s="54">
        <v>8</v>
      </c>
      <c r="C40" s="17" t="s">
        <v>54</v>
      </c>
      <c r="E40" s="35" t="s">
        <v>55</v>
      </c>
      <c r="F40" s="36">
        <v>0</v>
      </c>
      <c r="H40" s="48">
        <f>E4*B40</f>
        <v>800</v>
      </c>
      <c r="I40" s="38">
        <f>F40*H40</f>
        <v>0</v>
      </c>
      <c r="J40" s="35" t="s">
        <v>25</v>
      </c>
      <c r="K40" s="6"/>
      <c r="L40" s="40"/>
      <c r="M40" s="11"/>
      <c r="N40" s="40"/>
      <c r="U40" s="11"/>
    </row>
    <row r="41" spans="1:26" x14ac:dyDescent="0.25">
      <c r="A41" s="31" t="s">
        <v>56</v>
      </c>
      <c r="B41" s="55">
        <v>6</v>
      </c>
      <c r="C41" s="17" t="s">
        <v>57</v>
      </c>
      <c r="D41" s="56"/>
      <c r="E41" s="35" t="s">
        <v>58</v>
      </c>
      <c r="F41" s="57">
        <v>0.06</v>
      </c>
      <c r="H41" s="58">
        <f>ROUND(SUM(I18:I40)-SUM(I32:I35),0)</f>
        <v>42103</v>
      </c>
      <c r="I41" s="38">
        <f>B41/12*F41*H41</f>
        <v>1263.0899999999999</v>
      </c>
      <c r="J41" s="35" t="s">
        <v>25</v>
      </c>
      <c r="K41" s="6"/>
      <c r="L41" s="40"/>
      <c r="M41" s="11"/>
      <c r="N41" s="40"/>
      <c r="U41" s="11"/>
    </row>
    <row r="42" spans="1:26" ht="15" customHeight="1" x14ac:dyDescent="0.25">
      <c r="A42" s="17"/>
      <c r="B42" s="17"/>
      <c r="C42" s="17"/>
      <c r="D42" s="17"/>
      <c r="E42" s="17"/>
      <c r="F42" s="17"/>
      <c r="G42" s="17"/>
      <c r="H42" s="17"/>
      <c r="I42" s="59"/>
      <c r="J42" s="30"/>
      <c r="K42" s="6"/>
      <c r="M42" s="11"/>
      <c r="U42" s="11" t="s">
        <v>4</v>
      </c>
      <c r="Z42" s="60" t="s">
        <v>4</v>
      </c>
    </row>
    <row r="43" spans="1:26" ht="18" customHeight="1" x14ac:dyDescent="0.25">
      <c r="A43" s="15" t="s">
        <v>59</v>
      </c>
      <c r="B43" s="17"/>
      <c r="C43" s="17"/>
      <c r="D43" s="17"/>
      <c r="E43" s="17"/>
      <c r="G43" s="43">
        <f>I43/E$4</f>
        <v>452.84625580357147</v>
      </c>
      <c r="H43" s="19" t="s">
        <v>30</v>
      </c>
      <c r="I43" s="44">
        <f>SUM(I18:I41)</f>
        <v>45284.625580357148</v>
      </c>
      <c r="J43" s="35" t="s">
        <v>25</v>
      </c>
      <c r="K43" s="6"/>
      <c r="M43" s="11"/>
      <c r="U43" s="11" t="s">
        <v>4</v>
      </c>
    </row>
    <row r="44" spans="1:26" ht="18" customHeight="1" x14ac:dyDescent="0.25">
      <c r="A44" s="15"/>
      <c r="B44" s="17"/>
      <c r="C44" s="17"/>
      <c r="D44" s="17"/>
      <c r="E44" s="17"/>
      <c r="G44" s="43"/>
      <c r="H44" s="19"/>
      <c r="I44" s="44"/>
      <c r="J44" s="35"/>
      <c r="K44" s="6"/>
      <c r="M44" s="11"/>
      <c r="U44" s="11"/>
    </row>
    <row r="45" spans="1:26" ht="18" customHeight="1" x14ac:dyDescent="0.25">
      <c r="A45" s="15" t="s">
        <v>60</v>
      </c>
      <c r="B45" s="17"/>
      <c r="C45" s="17"/>
      <c r="D45" s="17"/>
      <c r="E45" s="17"/>
      <c r="F45" s="17"/>
      <c r="G45" s="17"/>
      <c r="H45" s="17"/>
      <c r="I45" s="36">
        <v>0</v>
      </c>
      <c r="J45" s="35" t="s">
        <v>25</v>
      </c>
      <c r="K45" s="6"/>
      <c r="M45" s="11"/>
      <c r="U45" s="11"/>
    </row>
    <row r="46" spans="1:26" ht="18" customHeight="1" x14ac:dyDescent="0.25">
      <c r="A46" s="31"/>
      <c r="B46" s="17"/>
      <c r="C46" s="17"/>
      <c r="D46" s="17"/>
      <c r="E46" s="17"/>
      <c r="F46" s="17"/>
      <c r="G46" s="17"/>
      <c r="H46" s="17"/>
      <c r="I46" s="38"/>
      <c r="J46" s="35"/>
      <c r="K46" s="6"/>
      <c r="M46" s="11"/>
      <c r="U46" s="11"/>
    </row>
    <row r="47" spans="1:26" ht="21" customHeight="1" x14ac:dyDescent="0.25">
      <c r="A47" s="328" t="s">
        <v>61</v>
      </c>
      <c r="B47" s="329"/>
      <c r="C47" s="329"/>
      <c r="D47" s="329"/>
      <c r="E47" s="329"/>
      <c r="F47" s="329"/>
      <c r="G47" s="61">
        <f>I47/$E$4</f>
        <v>188.10374419642852</v>
      </c>
      <c r="H47" s="62" t="s">
        <v>30</v>
      </c>
      <c r="I47" s="63">
        <f>I15-I43-I45</f>
        <v>18810.374419642852</v>
      </c>
      <c r="J47" s="64" t="s">
        <v>25</v>
      </c>
      <c r="K47" s="6"/>
      <c r="M47" s="11" t="s">
        <v>4</v>
      </c>
      <c r="U47" s="11" t="s">
        <v>4</v>
      </c>
    </row>
    <row r="48" spans="1:26" ht="15" customHeight="1" thickBot="1" x14ac:dyDescent="0.3">
      <c r="A48" s="65"/>
      <c r="B48" s="66"/>
      <c r="C48" s="66"/>
      <c r="D48" s="66"/>
      <c r="E48" s="66"/>
      <c r="F48" s="66"/>
      <c r="G48" s="67"/>
      <c r="H48" s="68"/>
      <c r="I48" s="69"/>
      <c r="J48" s="70"/>
      <c r="K48" s="6"/>
      <c r="M48" s="11"/>
      <c r="U48" s="11"/>
    </row>
    <row r="49" spans="1:26" ht="15.6" thickTop="1" x14ac:dyDescent="0.25">
      <c r="K49" s="6"/>
    </row>
    <row r="50" spans="1:26" x14ac:dyDescent="0.25">
      <c r="A50" s="330" t="s">
        <v>62</v>
      </c>
      <c r="B50" s="330"/>
      <c r="C50" s="17"/>
      <c r="D50" s="331" t="s">
        <v>63</v>
      </c>
      <c r="E50" s="331"/>
      <c r="F50" s="331"/>
      <c r="G50" s="331"/>
      <c r="H50" s="331"/>
      <c r="I50" s="316"/>
      <c r="J50" s="316"/>
      <c r="K50" s="6"/>
      <c r="M50" s="11" t="s">
        <v>4</v>
      </c>
      <c r="O50" s="71" t="s">
        <v>4</v>
      </c>
      <c r="U50" s="11" t="s">
        <v>4</v>
      </c>
      <c r="Z50" s="60" t="s">
        <v>4</v>
      </c>
    </row>
    <row r="51" spans="1:26" x14ac:dyDescent="0.25">
      <c r="A51" s="72"/>
      <c r="B51" s="72"/>
      <c r="C51" s="73"/>
      <c r="D51" s="74">
        <f>$G$51-($B$60*5)</f>
        <v>-0.25</v>
      </c>
      <c r="E51" s="74">
        <f>$G$51-($B$60*2)</f>
        <v>-0.1</v>
      </c>
      <c r="F51" s="74">
        <f>$G$51-($B$60)</f>
        <v>-0.05</v>
      </c>
      <c r="G51" s="74">
        <v>0</v>
      </c>
      <c r="H51" s="74">
        <f>$G$51+($B$60)</f>
        <v>0.05</v>
      </c>
      <c r="I51" s="74">
        <f>$G$51+($B$60*2)</f>
        <v>0.1</v>
      </c>
      <c r="J51" s="74">
        <f>$G$51+($B$60*5)</f>
        <v>0.25</v>
      </c>
      <c r="K51" s="6"/>
      <c r="M51" s="11" t="s">
        <v>4</v>
      </c>
      <c r="O51" s="71" t="s">
        <v>4</v>
      </c>
      <c r="U51" s="11" t="s">
        <v>4</v>
      </c>
      <c r="Z51" s="60" t="s">
        <v>4</v>
      </c>
    </row>
    <row r="52" spans="1:26" x14ac:dyDescent="0.25">
      <c r="A52" s="72"/>
      <c r="B52" s="72"/>
      <c r="C52" s="73"/>
      <c r="D52" s="332" t="s">
        <v>64</v>
      </c>
      <c r="E52" s="333"/>
      <c r="F52" s="333"/>
      <c r="G52" s="333"/>
      <c r="H52" s="333"/>
      <c r="I52" s="333"/>
      <c r="J52" s="333"/>
      <c r="K52" s="6"/>
      <c r="M52" s="11"/>
      <c r="O52" s="71"/>
      <c r="U52" s="11"/>
      <c r="Z52" s="60"/>
    </row>
    <row r="53" spans="1:26" ht="18" customHeight="1" x14ac:dyDescent="0.25">
      <c r="B53" s="75">
        <f>$B$55-($B$60*2)</f>
        <v>-0.1</v>
      </c>
      <c r="C53" s="17"/>
      <c r="D53" s="76">
        <f t="shared" ref="D53:J58" si="4">(($I$15*(1+D$51))-($I$43*(1+$B53)))/$E$4</f>
        <v>73.150869776785697</v>
      </c>
      <c r="E53" s="76">
        <f t="shared" si="4"/>
        <v>169.29336977678568</v>
      </c>
      <c r="F53" s="76">
        <f t="shared" si="4"/>
        <v>201.34086977678569</v>
      </c>
      <c r="G53" s="76">
        <f t="shared" si="4"/>
        <v>233.38836977678568</v>
      </c>
      <c r="H53" s="76">
        <f t="shared" si="4"/>
        <v>265.43586977678569</v>
      </c>
      <c r="I53" s="76">
        <f t="shared" si="4"/>
        <v>297.48336977678571</v>
      </c>
      <c r="J53" s="76">
        <f t="shared" si="4"/>
        <v>393.62586977678569</v>
      </c>
      <c r="K53" s="6"/>
      <c r="M53" s="11" t="s">
        <v>4</v>
      </c>
      <c r="O53" s="71" t="s">
        <v>4</v>
      </c>
      <c r="U53" s="11" t="s">
        <v>4</v>
      </c>
      <c r="Z53" s="60" t="s">
        <v>4</v>
      </c>
    </row>
    <row r="54" spans="1:26" x14ac:dyDescent="0.25">
      <c r="A54" s="77" t="s">
        <v>65</v>
      </c>
      <c r="B54" s="75">
        <f>$B$55-$B$60</f>
        <v>-0.05</v>
      </c>
      <c r="C54" s="17"/>
      <c r="D54" s="76">
        <f t="shared" si="4"/>
        <v>50.508556986607147</v>
      </c>
      <c r="E54" s="76">
        <f t="shared" si="4"/>
        <v>146.65105698660716</v>
      </c>
      <c r="F54" s="76">
        <f t="shared" si="4"/>
        <v>178.69855698660714</v>
      </c>
      <c r="G54" s="76">
        <f t="shared" si="4"/>
        <v>210.74605698660716</v>
      </c>
      <c r="H54" s="76">
        <f t="shared" si="4"/>
        <v>242.79355698660714</v>
      </c>
      <c r="I54" s="76">
        <f t="shared" si="4"/>
        <v>274.84105698660716</v>
      </c>
      <c r="J54" s="76">
        <f t="shared" si="4"/>
        <v>370.98355698660714</v>
      </c>
      <c r="K54" s="6"/>
      <c r="M54" s="11" t="s">
        <v>4</v>
      </c>
      <c r="O54" s="71" t="s">
        <v>4</v>
      </c>
      <c r="U54" s="11" t="s">
        <v>4</v>
      </c>
      <c r="Z54" s="60" t="s">
        <v>4</v>
      </c>
    </row>
    <row r="55" spans="1:26" x14ac:dyDescent="0.25">
      <c r="A55" s="77" t="s">
        <v>66</v>
      </c>
      <c r="B55" s="75">
        <v>0</v>
      </c>
      <c r="C55" s="17"/>
      <c r="D55" s="76">
        <f t="shared" si="4"/>
        <v>27.866244196428525</v>
      </c>
      <c r="E55" s="76">
        <f t="shared" si="4"/>
        <v>124.00874419642852</v>
      </c>
      <c r="F55" s="76">
        <f t="shared" si="4"/>
        <v>156.05624419642854</v>
      </c>
      <c r="G55" s="78">
        <f t="shared" si="4"/>
        <v>188.10374419642852</v>
      </c>
      <c r="H55" s="76">
        <f t="shared" si="4"/>
        <v>220.15124419642854</v>
      </c>
      <c r="I55" s="76">
        <f t="shared" si="4"/>
        <v>252.19874419642852</v>
      </c>
      <c r="J55" s="76">
        <f t="shared" si="4"/>
        <v>348.34124419642853</v>
      </c>
      <c r="K55" s="6"/>
      <c r="M55" s="11" t="s">
        <v>4</v>
      </c>
      <c r="O55" s="71" t="s">
        <v>4</v>
      </c>
      <c r="U55" s="11" t="s">
        <v>4</v>
      </c>
      <c r="Z55" s="60" t="s">
        <v>4</v>
      </c>
    </row>
    <row r="56" spans="1:26" x14ac:dyDescent="0.25">
      <c r="A56" s="77" t="s">
        <v>67</v>
      </c>
      <c r="B56" s="75">
        <f>$B$55+$B$60</f>
        <v>0.05</v>
      </c>
      <c r="C56" s="17"/>
      <c r="D56" s="76">
        <f t="shared" si="4"/>
        <v>5.2239314062499034</v>
      </c>
      <c r="E56" s="76">
        <f t="shared" si="4"/>
        <v>101.3664314062499</v>
      </c>
      <c r="F56" s="76">
        <f t="shared" si="4"/>
        <v>133.4139314062499</v>
      </c>
      <c r="G56" s="76">
        <f t="shared" si="4"/>
        <v>165.46143140624991</v>
      </c>
      <c r="H56" s="76">
        <f t="shared" si="4"/>
        <v>197.5089314062499</v>
      </c>
      <c r="I56" s="76">
        <f t="shared" si="4"/>
        <v>229.55643140624991</v>
      </c>
      <c r="J56" s="76">
        <f t="shared" si="4"/>
        <v>325.69893140624993</v>
      </c>
      <c r="K56" s="6"/>
      <c r="M56" s="11" t="s">
        <v>4</v>
      </c>
      <c r="O56" s="71" t="s">
        <v>4</v>
      </c>
      <c r="U56" s="11" t="s">
        <v>4</v>
      </c>
      <c r="Z56" s="60" t="s">
        <v>4</v>
      </c>
    </row>
    <row r="57" spans="1:26" x14ac:dyDescent="0.25">
      <c r="A57" s="77" t="s">
        <v>68</v>
      </c>
      <c r="B57" s="75">
        <f>$B$55+($B$60*2)</f>
        <v>0.1</v>
      </c>
      <c r="C57" s="17"/>
      <c r="D57" s="76">
        <f t="shared" si="4"/>
        <v>-17.418381383928644</v>
      </c>
      <c r="E57" s="76">
        <f t="shared" si="4"/>
        <v>78.724118616071351</v>
      </c>
      <c r="F57" s="76">
        <f t="shared" si="4"/>
        <v>110.77161861607135</v>
      </c>
      <c r="G57" s="76">
        <f t="shared" si="4"/>
        <v>142.81911861607136</v>
      </c>
      <c r="H57" s="76">
        <f t="shared" si="4"/>
        <v>174.86661861607135</v>
      </c>
      <c r="I57" s="76">
        <f t="shared" si="4"/>
        <v>206.91411861607136</v>
      </c>
      <c r="J57" s="76">
        <f t="shared" si="4"/>
        <v>303.05661861607138</v>
      </c>
      <c r="K57" s="6"/>
      <c r="M57" s="11" t="s">
        <v>4</v>
      </c>
      <c r="U57" s="11" t="s">
        <v>4</v>
      </c>
    </row>
    <row r="58" spans="1:26" x14ac:dyDescent="0.25">
      <c r="A58" s="72"/>
      <c r="B58" s="75">
        <f>$B$55+($B$60*5)</f>
        <v>0.25</v>
      </c>
      <c r="C58" s="17"/>
      <c r="D58" s="76">
        <f t="shared" si="4"/>
        <v>-85.345319754464356</v>
      </c>
      <c r="E58" s="76">
        <f t="shared" si="4"/>
        <v>10.797180245535637</v>
      </c>
      <c r="F58" s="76">
        <f t="shared" si="4"/>
        <v>42.844680245535635</v>
      </c>
      <c r="G58" s="76">
        <f t="shared" si="4"/>
        <v>74.892180245535641</v>
      </c>
      <c r="H58" s="76">
        <f t="shared" si="4"/>
        <v>106.93968024553564</v>
      </c>
      <c r="I58" s="76">
        <f t="shared" si="4"/>
        <v>138.98718024553563</v>
      </c>
      <c r="J58" s="76">
        <f t="shared" si="4"/>
        <v>235.12968024553564</v>
      </c>
      <c r="K58" s="6"/>
      <c r="M58" s="11" t="s">
        <v>4</v>
      </c>
      <c r="U58" s="11" t="s">
        <v>4</v>
      </c>
      <c r="Z58" s="60" t="s">
        <v>4</v>
      </c>
    </row>
    <row r="59" spans="1:26" ht="15" customHeight="1" x14ac:dyDescent="0.25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6"/>
      <c r="M59" s="11"/>
      <c r="U59" s="11"/>
      <c r="Z59" s="60"/>
    </row>
    <row r="60" spans="1:26" ht="15" customHeight="1" x14ac:dyDescent="0.25">
      <c r="A60" s="72"/>
      <c r="B60" s="80">
        <v>0.05</v>
      </c>
      <c r="C60" s="81" t="s">
        <v>69</v>
      </c>
      <c r="E60" s="82"/>
      <c r="F60" s="82"/>
      <c r="G60" s="82"/>
      <c r="H60" s="82"/>
      <c r="I60" s="82"/>
      <c r="J60" s="82"/>
      <c r="K60" s="6"/>
      <c r="M60" s="11"/>
      <c r="U60" s="11"/>
      <c r="Z60" s="60"/>
    </row>
    <row r="61" spans="1:26" ht="15" customHeight="1" thickBot="1" x14ac:dyDescent="0.3">
      <c r="A61" s="83"/>
      <c r="B61" s="84"/>
      <c r="C61" s="85"/>
      <c r="D61" s="86"/>
      <c r="E61" s="86"/>
      <c r="F61" s="86"/>
      <c r="G61" s="86"/>
      <c r="H61" s="86"/>
      <c r="I61" s="86"/>
      <c r="J61" s="86"/>
      <c r="K61" s="6"/>
      <c r="M61" s="11"/>
      <c r="U61" s="11"/>
      <c r="Z61" s="60"/>
    </row>
    <row r="62" spans="1:26" ht="16.5" customHeight="1" thickTop="1" x14ac:dyDescent="0.25">
      <c r="A62" s="334" t="s">
        <v>70</v>
      </c>
      <c r="B62" s="335"/>
      <c r="C62" s="335"/>
      <c r="D62" s="335"/>
      <c r="E62" s="335"/>
      <c r="F62" s="335"/>
      <c r="G62" s="335"/>
      <c r="H62" s="335"/>
      <c r="I62" s="335"/>
      <c r="J62" s="335"/>
      <c r="K62" s="6"/>
      <c r="L62" s="40" t="s">
        <v>4</v>
      </c>
      <c r="M62" s="11" t="s">
        <v>4</v>
      </c>
      <c r="N62" s="40" t="s">
        <v>4</v>
      </c>
      <c r="U62" s="11" t="s">
        <v>4</v>
      </c>
    </row>
    <row r="63" spans="1:26" ht="16.5" customHeight="1" x14ac:dyDescent="0.25">
      <c r="A63" s="31"/>
      <c r="B63" s="17"/>
      <c r="C63" s="29"/>
      <c r="D63" s="17"/>
      <c r="E63" s="37"/>
      <c r="F63" s="35"/>
      <c r="G63" s="17"/>
      <c r="H63" s="37"/>
      <c r="I63" s="17"/>
      <c r="J63" s="31"/>
      <c r="K63" s="6"/>
      <c r="L63" s="40"/>
      <c r="M63" s="11"/>
      <c r="N63" s="40"/>
      <c r="U63" s="11"/>
    </row>
    <row r="64" spans="1:26" ht="18.75" customHeigh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6"/>
      <c r="L64" s="40" t="s">
        <v>4</v>
      </c>
      <c r="M64" s="11" t="s">
        <v>4</v>
      </c>
      <c r="N64" s="40" t="s">
        <v>4</v>
      </c>
      <c r="U64" s="11" t="s">
        <v>4</v>
      </c>
      <c r="Z64" s="60" t="s">
        <v>4</v>
      </c>
    </row>
    <row r="65" spans="1:26" ht="21" customHeight="1" x14ac:dyDescent="0.3">
      <c r="A65" s="336" t="str">
        <f>A3</f>
        <v>Beef Cows Spring Calving - Hay Ration</v>
      </c>
      <c r="B65" s="337"/>
      <c r="C65" s="337"/>
      <c r="D65" s="337"/>
      <c r="E65" s="338"/>
      <c r="F65" s="338"/>
      <c r="G65" s="87"/>
      <c r="H65" s="87"/>
      <c r="I65" s="87"/>
      <c r="J65" s="88" t="s">
        <v>71</v>
      </c>
      <c r="K65" s="6"/>
      <c r="M65" s="11" t="s">
        <v>4</v>
      </c>
      <c r="U65" s="11" t="s">
        <v>4</v>
      </c>
    </row>
    <row r="66" spans="1:26" ht="21" customHeight="1" x14ac:dyDescent="0.3">
      <c r="A66" s="89" t="s">
        <v>72</v>
      </c>
      <c r="B66" s="17"/>
      <c r="C66" s="29"/>
      <c r="D66" s="17"/>
      <c r="E66" s="90"/>
      <c r="F66" s="90"/>
      <c r="G66" s="91" t="s">
        <v>73</v>
      </c>
      <c r="H66" s="91" t="s">
        <v>74</v>
      </c>
      <c r="I66" s="92" t="s">
        <v>75</v>
      </c>
      <c r="J66" s="91"/>
      <c r="K66" s="6"/>
      <c r="M66" s="11" t="s">
        <v>4</v>
      </c>
      <c r="U66" s="11" t="s">
        <v>4</v>
      </c>
    </row>
    <row r="67" spans="1:26" x14ac:dyDescent="0.25">
      <c r="A67" s="93" t="s">
        <v>76</v>
      </c>
      <c r="B67" s="17"/>
      <c r="C67" s="29"/>
      <c r="D67" s="91" t="s">
        <v>77</v>
      </c>
      <c r="E67" s="91" t="s">
        <v>78</v>
      </c>
      <c r="F67" s="91" t="s">
        <v>79</v>
      </c>
      <c r="G67" s="91" t="s">
        <v>80</v>
      </c>
      <c r="H67" s="91" t="s">
        <v>80</v>
      </c>
      <c r="I67" s="92" t="s">
        <v>38</v>
      </c>
      <c r="J67" s="94" t="s">
        <v>81</v>
      </c>
      <c r="K67" s="6"/>
      <c r="M67" s="11" t="s">
        <v>4</v>
      </c>
      <c r="U67" s="11" t="s">
        <v>4</v>
      </c>
    </row>
    <row r="68" spans="1:26" x14ac:dyDescent="0.25">
      <c r="A68" s="42"/>
      <c r="B68" s="339" t="s">
        <v>82</v>
      </c>
      <c r="C68" s="340"/>
      <c r="D68" s="95">
        <f>IF(D95&gt;0,(E4*(A5/100)),E4)-H68</f>
        <v>87</v>
      </c>
      <c r="E68" s="39">
        <f>ROUND(((E4/A6)+0.25),0)</f>
        <v>3</v>
      </c>
      <c r="F68" s="39">
        <f>ROUND((E4*(G5/100)+0.25),0)</f>
        <v>85</v>
      </c>
      <c r="G68" s="32">
        <f>ROUND((E4*(A5/200)*(G6/100)+0.25),0)</f>
        <v>14</v>
      </c>
      <c r="H68" s="39">
        <f>IF(D115&gt;0,ROUND(((G68*(A5/100))+0.25),0),G68)</f>
        <v>13</v>
      </c>
      <c r="I68" s="96">
        <v>0</v>
      </c>
      <c r="J68" s="94" t="s">
        <v>83</v>
      </c>
      <c r="K68" s="6"/>
      <c r="M68" s="11" t="s">
        <v>4</v>
      </c>
      <c r="U68" s="11" t="s">
        <v>4</v>
      </c>
    </row>
    <row r="69" spans="1:26" x14ac:dyDescent="0.25">
      <c r="A69" s="97" t="s">
        <v>84</v>
      </c>
      <c r="B69" s="341" t="s">
        <v>85</v>
      </c>
      <c r="C69" s="342"/>
      <c r="D69" s="98">
        <v>135</v>
      </c>
      <c r="E69" s="98">
        <v>135</v>
      </c>
      <c r="F69" s="98">
        <v>0</v>
      </c>
      <c r="G69" s="98">
        <v>135</v>
      </c>
      <c r="H69" s="98">
        <v>135</v>
      </c>
      <c r="I69" s="98">
        <v>0</v>
      </c>
      <c r="J69" s="99" t="s">
        <v>86</v>
      </c>
      <c r="K69" s="6"/>
      <c r="M69" s="11" t="s">
        <v>4</v>
      </c>
      <c r="U69" s="11" t="s">
        <v>4</v>
      </c>
      <c r="Z69" s="60" t="s">
        <v>4</v>
      </c>
    </row>
    <row r="70" spans="1:26" x14ac:dyDescent="0.25">
      <c r="A70" s="100"/>
      <c r="B70" s="101"/>
      <c r="C70" s="102" t="s">
        <v>87</v>
      </c>
      <c r="D70" s="103"/>
      <c r="E70" s="103"/>
      <c r="F70" s="103"/>
      <c r="G70" s="103"/>
      <c r="H70" s="103"/>
      <c r="I70" s="103"/>
      <c r="J70" s="103"/>
      <c r="K70" s="104"/>
      <c r="M70" s="11" t="s">
        <v>4</v>
      </c>
      <c r="U70" s="11" t="s">
        <v>4</v>
      </c>
      <c r="Z70" s="60" t="s">
        <v>4</v>
      </c>
    </row>
    <row r="71" spans="1:26" ht="15.6" x14ac:dyDescent="0.3">
      <c r="A71" s="105" t="s">
        <v>88</v>
      </c>
      <c r="B71" s="106" t="s">
        <v>89</v>
      </c>
      <c r="C71" s="107"/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37">
        <f t="shared" ref="J71:J77" si="5">(($E$68*$E$69*E71)+($F$68*$F$69*F71)+($G$68*$G$69*G71)+($H$68*$H$69*H71)+($I$68*$I$69*I71)+($D$68*$D$69*D71))/2000</f>
        <v>0</v>
      </c>
      <c r="K71" s="6"/>
      <c r="M71" s="11"/>
      <c r="U71" s="11"/>
      <c r="Z71" s="60"/>
    </row>
    <row r="72" spans="1:26" ht="15.6" x14ac:dyDescent="0.3">
      <c r="A72" s="105" t="s">
        <v>90</v>
      </c>
      <c r="B72" s="106" t="s">
        <v>89</v>
      </c>
      <c r="C72" s="107"/>
      <c r="D72" s="34">
        <v>0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7">
        <f t="shared" si="5"/>
        <v>0</v>
      </c>
      <c r="K72" s="6"/>
      <c r="M72" s="11"/>
      <c r="U72" s="11"/>
      <c r="Z72" s="60"/>
    </row>
    <row r="73" spans="1:26" ht="15.6" x14ac:dyDescent="0.3">
      <c r="A73" s="105" t="s">
        <v>91</v>
      </c>
      <c r="B73" s="106" t="s">
        <v>89</v>
      </c>
      <c r="C73" s="107"/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7">
        <f t="shared" si="5"/>
        <v>0</v>
      </c>
      <c r="K73" s="6"/>
    </row>
    <row r="74" spans="1:26" ht="15" customHeight="1" x14ac:dyDescent="0.3">
      <c r="A74" s="105" t="s">
        <v>92</v>
      </c>
      <c r="B74" s="106" t="s">
        <v>89</v>
      </c>
      <c r="C74" s="107"/>
      <c r="D74" s="34">
        <v>26</v>
      </c>
      <c r="E74" s="34">
        <v>32</v>
      </c>
      <c r="F74" s="34">
        <v>0</v>
      </c>
      <c r="G74" s="34">
        <v>12</v>
      </c>
      <c r="H74" s="34">
        <v>22</v>
      </c>
      <c r="I74" s="34">
        <v>0</v>
      </c>
      <c r="J74" s="37">
        <f t="shared" si="5"/>
        <v>189.81</v>
      </c>
      <c r="K74" s="6"/>
      <c r="L74" s="40" t="s">
        <v>4</v>
      </c>
      <c r="M74" s="11" t="s">
        <v>4</v>
      </c>
      <c r="N74" s="40" t="s">
        <v>4</v>
      </c>
      <c r="U74" s="11" t="s">
        <v>4</v>
      </c>
      <c r="Z74" s="60" t="s">
        <v>4</v>
      </c>
    </row>
    <row r="75" spans="1:26" ht="15.6" x14ac:dyDescent="0.3">
      <c r="A75" s="108" t="s">
        <v>93</v>
      </c>
      <c r="B75" s="106" t="s">
        <v>89</v>
      </c>
      <c r="C75" s="107">
        <v>56</v>
      </c>
      <c r="D75" s="34">
        <v>2.75</v>
      </c>
      <c r="E75" s="34">
        <v>3.35</v>
      </c>
      <c r="F75" s="34">
        <v>0</v>
      </c>
      <c r="G75" s="34">
        <v>6.1</v>
      </c>
      <c r="H75" s="34">
        <v>4.25</v>
      </c>
      <c r="I75" s="34">
        <v>0</v>
      </c>
      <c r="J75" s="37">
        <f t="shared" si="5"/>
        <v>26.321625000000001</v>
      </c>
      <c r="K75" s="6"/>
    </row>
    <row r="76" spans="1:26" ht="15" customHeight="1" x14ac:dyDescent="0.3">
      <c r="A76" s="105" t="s">
        <v>94</v>
      </c>
      <c r="B76" s="106" t="s">
        <v>89</v>
      </c>
      <c r="C76" s="107"/>
      <c r="D76" s="34">
        <v>0</v>
      </c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37">
        <f t="shared" si="5"/>
        <v>0</v>
      </c>
      <c r="K76" s="6"/>
      <c r="M76" s="11" t="s">
        <v>4</v>
      </c>
      <c r="U76" s="11" t="s">
        <v>4</v>
      </c>
    </row>
    <row r="77" spans="1:26" ht="15.6" x14ac:dyDescent="0.3">
      <c r="A77" s="105" t="s">
        <v>95</v>
      </c>
      <c r="B77" s="106" t="s">
        <v>89</v>
      </c>
      <c r="C77" s="107"/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v>0</v>
      </c>
      <c r="J77" s="37">
        <f t="shared" si="5"/>
        <v>0</v>
      </c>
      <c r="K77" s="6"/>
      <c r="L77" s="40" t="s">
        <v>4</v>
      </c>
      <c r="M77" s="11" t="s">
        <v>4</v>
      </c>
      <c r="N77" s="40" t="s">
        <v>4</v>
      </c>
      <c r="U77" s="11" t="s">
        <v>4</v>
      </c>
    </row>
    <row r="78" spans="1:26" ht="15.6" thickBot="1" x14ac:dyDescent="0.3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4"/>
      <c r="M78" s="11" t="s">
        <v>4</v>
      </c>
      <c r="U78" s="11" t="s">
        <v>4</v>
      </c>
    </row>
    <row r="79" spans="1:26" ht="21" customHeight="1" thickTop="1" x14ac:dyDescent="0.3">
      <c r="A79" s="89" t="s">
        <v>96</v>
      </c>
      <c r="B79" s="17"/>
      <c r="C79" s="90"/>
      <c r="D79" s="91" t="s">
        <v>97</v>
      </c>
      <c r="E79" s="110"/>
      <c r="F79" s="35" t="s">
        <v>65</v>
      </c>
      <c r="G79" s="90"/>
      <c r="H79" s="35" t="s">
        <v>98</v>
      </c>
      <c r="I79" s="35" t="s">
        <v>65</v>
      </c>
      <c r="J79" s="91" t="s">
        <v>99</v>
      </c>
      <c r="K79" s="6"/>
      <c r="M79" s="11" t="s">
        <v>4</v>
      </c>
      <c r="U79" s="11" t="s">
        <v>4</v>
      </c>
      <c r="Z79" s="60" t="s">
        <v>4</v>
      </c>
    </row>
    <row r="80" spans="1:26" x14ac:dyDescent="0.25">
      <c r="A80" s="111" t="s">
        <v>100</v>
      </c>
      <c r="B80" s="112"/>
      <c r="C80" s="113"/>
      <c r="D80" s="114" t="s">
        <v>101</v>
      </c>
      <c r="E80" s="113"/>
      <c r="F80" s="115" t="s">
        <v>102</v>
      </c>
      <c r="G80" s="113"/>
      <c r="H80" s="115" t="s">
        <v>103</v>
      </c>
      <c r="I80" s="115" t="s">
        <v>104</v>
      </c>
      <c r="J80" s="114" t="s">
        <v>105</v>
      </c>
      <c r="K80" s="6"/>
      <c r="M80" s="11" t="s">
        <v>4</v>
      </c>
      <c r="U80" s="11" t="s">
        <v>4</v>
      </c>
    </row>
    <row r="81" spans="1:26" ht="12" customHeight="1" x14ac:dyDescent="0.25">
      <c r="A81" s="116"/>
      <c r="B81" s="116"/>
      <c r="C81" s="116"/>
      <c r="D81" s="116"/>
      <c r="E81" s="116"/>
      <c r="F81" s="35"/>
      <c r="G81" s="116"/>
      <c r="H81" s="35"/>
      <c r="I81" s="35"/>
      <c r="J81" s="116"/>
      <c r="K81" s="6"/>
      <c r="M81" s="11" t="s">
        <v>4</v>
      </c>
      <c r="U81" s="11" t="s">
        <v>4</v>
      </c>
      <c r="Z81" s="60" t="s">
        <v>4</v>
      </c>
    </row>
    <row r="82" spans="1:26" x14ac:dyDescent="0.25">
      <c r="A82" s="105" t="s">
        <v>26</v>
      </c>
      <c r="B82" s="42"/>
      <c r="C82" s="17"/>
      <c r="D82" s="117">
        <v>0</v>
      </c>
      <c r="E82" s="42"/>
      <c r="F82" s="118">
        <v>0.1</v>
      </c>
      <c r="G82" s="42"/>
      <c r="H82" s="119">
        <v>0</v>
      </c>
      <c r="I82" s="120">
        <v>1</v>
      </c>
      <c r="J82" s="38">
        <f>(IF(H82&gt;0,PMT(F82,H82,-D82),0))*(I82)</f>
        <v>0</v>
      </c>
      <c r="K82" s="121"/>
      <c r="L82" s="40" t="s">
        <v>4</v>
      </c>
      <c r="M82" s="11" t="s">
        <v>4</v>
      </c>
      <c r="N82" s="40" t="s">
        <v>4</v>
      </c>
      <c r="U82" s="11" t="s">
        <v>4</v>
      </c>
      <c r="Z82" s="60" t="s">
        <v>4</v>
      </c>
    </row>
    <row r="83" spans="1:26" x14ac:dyDescent="0.25">
      <c r="A83" s="105" t="s">
        <v>106</v>
      </c>
      <c r="B83" s="42"/>
      <c r="C83" s="17"/>
      <c r="D83" s="117">
        <v>0</v>
      </c>
      <c r="E83" s="42"/>
      <c r="F83" s="118">
        <v>0</v>
      </c>
      <c r="G83" s="42"/>
      <c r="H83" s="119">
        <v>0</v>
      </c>
      <c r="I83" s="120">
        <v>1</v>
      </c>
      <c r="J83" s="38">
        <f>(IF(H83&gt;0,PMT(F83,H83,-D83),0))*(I83)</f>
        <v>0</v>
      </c>
      <c r="K83" s="121"/>
    </row>
    <row r="84" spans="1:26" x14ac:dyDescent="0.25">
      <c r="A84" s="105" t="s">
        <v>106</v>
      </c>
      <c r="B84" s="42"/>
      <c r="C84" s="17"/>
      <c r="D84" s="117">
        <v>0</v>
      </c>
      <c r="E84" s="42"/>
      <c r="F84" s="118">
        <v>0</v>
      </c>
      <c r="G84" s="42"/>
      <c r="H84" s="119">
        <v>0</v>
      </c>
      <c r="I84" s="120">
        <v>1</v>
      </c>
      <c r="J84" s="38">
        <f>(IF(H84&gt;0,PMT(F84,H84,-D84),0))*(I84)</f>
        <v>0</v>
      </c>
      <c r="K84" s="121"/>
    </row>
    <row r="85" spans="1:26" ht="15" customHeight="1" x14ac:dyDescent="0.25">
      <c r="A85" s="122"/>
      <c r="B85" s="122"/>
      <c r="C85" s="122"/>
      <c r="D85" s="122"/>
      <c r="E85" s="122"/>
      <c r="F85" s="122"/>
      <c r="G85" s="122"/>
      <c r="H85" s="122"/>
      <c r="I85" s="122"/>
      <c r="J85" s="123"/>
      <c r="K85" s="121"/>
      <c r="M85" s="11" t="s">
        <v>4</v>
      </c>
      <c r="U85" s="11" t="s">
        <v>4</v>
      </c>
      <c r="Z85" s="60" t="s">
        <v>4</v>
      </c>
    </row>
    <row r="86" spans="1:26" ht="15.6" thickBot="1" x14ac:dyDescent="0.3">
      <c r="A86" s="124"/>
      <c r="B86" s="124"/>
      <c r="C86" s="125"/>
      <c r="D86" s="126"/>
      <c r="E86" s="124"/>
      <c r="F86" s="127" t="s">
        <v>107</v>
      </c>
      <c r="G86" s="128"/>
      <c r="H86" s="128"/>
      <c r="I86" s="129"/>
      <c r="J86" s="130">
        <f>SUM(J81:J85)</f>
        <v>0</v>
      </c>
      <c r="K86" s="121"/>
      <c r="M86" s="11" t="s">
        <v>4</v>
      </c>
      <c r="U86" s="11" t="s">
        <v>4</v>
      </c>
      <c r="Z86" s="60" t="s">
        <v>4</v>
      </c>
    </row>
    <row r="87" spans="1:26" ht="21" customHeight="1" thickTop="1" x14ac:dyDescent="0.3">
      <c r="A87" s="89" t="s">
        <v>108</v>
      </c>
      <c r="B87" s="131"/>
      <c r="D87" s="132" t="s">
        <v>109</v>
      </c>
      <c r="E87" s="17"/>
      <c r="F87" s="17"/>
      <c r="G87" s="17"/>
      <c r="H87" s="17"/>
      <c r="I87" s="17"/>
      <c r="J87" s="17"/>
      <c r="K87" s="6"/>
      <c r="M87" s="11" t="s">
        <v>4</v>
      </c>
      <c r="U87" s="11" t="s">
        <v>4</v>
      </c>
    </row>
    <row r="88" spans="1:26" ht="24" customHeight="1" x14ac:dyDescent="0.25">
      <c r="A88" s="21">
        <f>E4</f>
        <v>100</v>
      </c>
      <c r="B88" s="15" t="s">
        <v>110</v>
      </c>
      <c r="C88" s="19"/>
      <c r="D88" s="21">
        <f>ROUND(((E4/A6)+0.25),0)</f>
        <v>3</v>
      </c>
      <c r="E88" s="15" t="s">
        <v>111</v>
      </c>
      <c r="F88" s="17"/>
      <c r="G88" s="17"/>
      <c r="H88" s="17"/>
      <c r="I88" s="17"/>
      <c r="J88" s="17"/>
      <c r="K88" s="133"/>
      <c r="M88" s="11" t="s">
        <v>4</v>
      </c>
      <c r="O88" s="71" t="s">
        <v>4</v>
      </c>
      <c r="U88" s="11" t="s">
        <v>4</v>
      </c>
      <c r="Z88" s="60" t="s">
        <v>4</v>
      </c>
    </row>
    <row r="89" spans="1:26" x14ac:dyDescent="0.25">
      <c r="A89" s="105" t="s">
        <v>112</v>
      </c>
      <c r="B89" s="42"/>
      <c r="C89" s="42"/>
      <c r="D89" s="96">
        <v>2</v>
      </c>
      <c r="E89" s="31" t="s">
        <v>113</v>
      </c>
      <c r="F89" s="134">
        <v>1.51</v>
      </c>
      <c r="G89" s="31" t="s">
        <v>114</v>
      </c>
      <c r="H89" s="17"/>
      <c r="I89" s="38">
        <f>D89*F89</f>
        <v>3.02</v>
      </c>
      <c r="J89" s="59"/>
      <c r="K89" s="133"/>
      <c r="M89" s="11"/>
      <c r="O89" s="71" t="s">
        <v>4</v>
      </c>
      <c r="U89" s="11" t="s">
        <v>4</v>
      </c>
      <c r="Z89" s="60" t="s">
        <v>4</v>
      </c>
    </row>
    <row r="90" spans="1:26" x14ac:dyDescent="0.25">
      <c r="A90" s="105" t="s">
        <v>115</v>
      </c>
      <c r="B90" s="135">
        <v>1200</v>
      </c>
      <c r="C90" s="42" t="s">
        <v>116</v>
      </c>
      <c r="D90" s="96">
        <v>0</v>
      </c>
      <c r="E90" s="31" t="s">
        <v>117</v>
      </c>
      <c r="F90" s="134">
        <v>62.2</v>
      </c>
      <c r="G90" s="31" t="s">
        <v>118</v>
      </c>
      <c r="H90" s="17"/>
      <c r="I90" s="38">
        <f>(B90*D90/100)*(F90/1000)</f>
        <v>0</v>
      </c>
      <c r="J90" s="59"/>
      <c r="K90" s="133"/>
      <c r="M90" s="136"/>
      <c r="U90" s="11"/>
      <c r="Z90" s="60" t="s">
        <v>4</v>
      </c>
    </row>
    <row r="91" spans="1:26" x14ac:dyDescent="0.25">
      <c r="A91" s="105" t="s">
        <v>119</v>
      </c>
      <c r="B91" s="135">
        <v>1200</v>
      </c>
      <c r="C91" s="42" t="s">
        <v>116</v>
      </c>
      <c r="D91" s="96">
        <v>3</v>
      </c>
      <c r="E91" s="31" t="s">
        <v>117</v>
      </c>
      <c r="F91" s="134">
        <f>(110.07/3.774)</f>
        <v>29.165341812400634</v>
      </c>
      <c r="G91" s="31" t="s">
        <v>118</v>
      </c>
      <c r="H91" s="17"/>
      <c r="I91" s="38">
        <f>IF(B91&lt;100,(B91*D91/100)*(F91/1000),30/1000)</f>
        <v>0.03</v>
      </c>
      <c r="J91" s="59"/>
      <c r="K91" s="133"/>
      <c r="M91" s="136"/>
      <c r="U91" s="11"/>
      <c r="Z91" s="60" t="s">
        <v>4</v>
      </c>
    </row>
    <row r="92" spans="1:26" x14ac:dyDescent="0.25">
      <c r="A92" s="324" t="s">
        <v>120</v>
      </c>
      <c r="B92" s="324"/>
      <c r="C92" s="42"/>
      <c r="D92" s="96">
        <v>2</v>
      </c>
      <c r="E92" s="31" t="s">
        <v>121</v>
      </c>
      <c r="F92" s="134">
        <v>1.58</v>
      </c>
      <c r="G92" s="31" t="s">
        <v>122</v>
      </c>
      <c r="H92" s="17"/>
      <c r="I92" s="38">
        <f>D92*F92</f>
        <v>3.16</v>
      </c>
      <c r="J92" s="59"/>
      <c r="K92" s="133"/>
      <c r="M92" s="137"/>
      <c r="U92" s="11"/>
      <c r="Z92" s="60"/>
    </row>
    <row r="93" spans="1:26" x14ac:dyDescent="0.25">
      <c r="A93" s="324" t="s">
        <v>123</v>
      </c>
      <c r="B93" s="316"/>
      <c r="C93" s="42"/>
      <c r="D93" s="96">
        <v>1</v>
      </c>
      <c r="E93" s="31" t="s">
        <v>121</v>
      </c>
      <c r="F93" s="134">
        <v>2.04</v>
      </c>
      <c r="G93" s="31" t="s">
        <v>122</v>
      </c>
      <c r="H93" s="17"/>
      <c r="I93" s="38">
        <f>D93*F93</f>
        <v>2.04</v>
      </c>
      <c r="J93" s="59"/>
      <c r="K93" s="133"/>
      <c r="M93" s="137"/>
      <c r="U93" s="11"/>
      <c r="Z93" s="60"/>
    </row>
    <row r="94" spans="1:26" x14ac:dyDescent="0.25">
      <c r="A94" s="105" t="s">
        <v>124</v>
      </c>
      <c r="B94" s="135"/>
      <c r="C94" s="42"/>
      <c r="D94" s="96">
        <v>0</v>
      </c>
      <c r="E94" s="31" t="s">
        <v>125</v>
      </c>
      <c r="F94" s="134">
        <v>27</v>
      </c>
      <c r="G94" s="31" t="s">
        <v>126</v>
      </c>
      <c r="H94" s="17"/>
      <c r="I94" s="38">
        <f>D94*F94</f>
        <v>0</v>
      </c>
      <c r="J94" s="59"/>
      <c r="K94" s="133"/>
      <c r="M94" s="136"/>
      <c r="U94" s="11"/>
      <c r="Z94" s="60"/>
    </row>
    <row r="95" spans="1:26" x14ac:dyDescent="0.25">
      <c r="A95" s="105" t="s">
        <v>127</v>
      </c>
      <c r="B95" s="42"/>
      <c r="C95" s="42"/>
      <c r="D95" s="96">
        <v>0</v>
      </c>
      <c r="E95" s="31" t="s">
        <v>128</v>
      </c>
      <c r="F95" s="134">
        <v>3.5</v>
      </c>
      <c r="G95" s="31" t="s">
        <v>126</v>
      </c>
      <c r="H95" s="17"/>
      <c r="I95" s="38">
        <f>D95*F95</f>
        <v>0</v>
      </c>
      <c r="J95" s="59"/>
      <c r="K95" s="133"/>
      <c r="M95" s="137"/>
      <c r="U95" s="11"/>
      <c r="Z95" s="60"/>
    </row>
    <row r="96" spans="1:26" ht="16.05" customHeight="1" x14ac:dyDescent="0.25">
      <c r="A96" s="112"/>
      <c r="B96" s="111" t="s">
        <v>129</v>
      </c>
      <c r="C96" s="79"/>
      <c r="D96" s="112"/>
      <c r="E96" s="112"/>
      <c r="F96" s="138"/>
      <c r="G96" s="112"/>
      <c r="H96" s="112"/>
      <c r="I96" s="112"/>
      <c r="J96" s="38">
        <f>ROUND((A88+D88)*(SUM(I89:I93))+((A88-A112)*SUM(I94:I95)),2)</f>
        <v>849.75</v>
      </c>
      <c r="K96" s="133"/>
      <c r="M96" s="137"/>
      <c r="Z96" s="60"/>
    </row>
    <row r="97" spans="1:26" ht="24" customHeight="1" x14ac:dyDescent="0.25">
      <c r="A97" s="21">
        <f>ROUND(((E4*(G5/100))+0.25),0)</f>
        <v>85</v>
      </c>
      <c r="B97" s="15" t="s">
        <v>130</v>
      </c>
      <c r="C97" s="17"/>
      <c r="D97" s="17"/>
      <c r="E97" s="17"/>
      <c r="F97" s="139"/>
      <c r="G97" s="17"/>
      <c r="H97" s="17"/>
      <c r="I97" s="59"/>
      <c r="J97" s="59"/>
      <c r="K97" s="6"/>
    </row>
    <row r="98" spans="1:26" x14ac:dyDescent="0.25">
      <c r="A98" s="105" t="s">
        <v>112</v>
      </c>
      <c r="B98" s="42"/>
      <c r="C98" s="42"/>
      <c r="D98" s="96">
        <v>2</v>
      </c>
      <c r="E98" s="31" t="s">
        <v>113</v>
      </c>
      <c r="F98" s="134">
        <v>1.51</v>
      </c>
      <c r="G98" s="31" t="s">
        <v>114</v>
      </c>
      <c r="H98" s="17"/>
      <c r="I98" s="38">
        <f>D98*F98</f>
        <v>3.02</v>
      </c>
      <c r="J98" s="59"/>
      <c r="K98" s="6"/>
      <c r="O98" s="11"/>
      <c r="P98" s="137"/>
      <c r="Q98" s="137"/>
      <c r="R98" s="137"/>
      <c r="S98" s="137"/>
    </row>
    <row r="99" spans="1:26" x14ac:dyDescent="0.25">
      <c r="A99" s="324" t="s">
        <v>131</v>
      </c>
      <c r="B99" s="324"/>
      <c r="C99" s="42"/>
      <c r="D99" s="96">
        <v>2</v>
      </c>
      <c r="E99" s="31" t="s">
        <v>121</v>
      </c>
      <c r="F99" s="134">
        <f>(3.11+0.56)/2</f>
        <v>1.835</v>
      </c>
      <c r="G99" s="31" t="s">
        <v>122</v>
      </c>
      <c r="H99" s="17"/>
      <c r="I99" s="38">
        <f>D99*F99</f>
        <v>3.67</v>
      </c>
      <c r="J99" s="59"/>
      <c r="K99" s="133"/>
      <c r="M99" s="137"/>
      <c r="U99" s="11"/>
      <c r="Z99" s="60"/>
    </row>
    <row r="100" spans="1:26" x14ac:dyDescent="0.25">
      <c r="A100" s="324" t="s">
        <v>132</v>
      </c>
      <c r="B100" s="316"/>
      <c r="C100" s="42"/>
      <c r="D100" s="96">
        <v>1</v>
      </c>
      <c r="E100" s="31" t="s">
        <v>121</v>
      </c>
      <c r="F100" s="134">
        <v>1.63</v>
      </c>
      <c r="G100" s="31" t="s">
        <v>122</v>
      </c>
      <c r="H100" s="17"/>
      <c r="I100" s="38">
        <f>D100*F100</f>
        <v>1.63</v>
      </c>
      <c r="J100" s="59"/>
      <c r="K100" s="133"/>
      <c r="M100" s="137"/>
      <c r="U100" s="11"/>
      <c r="Z100" s="60"/>
    </row>
    <row r="101" spans="1:26" x14ac:dyDescent="0.25">
      <c r="A101" s="105" t="s">
        <v>133</v>
      </c>
      <c r="B101" s="42"/>
      <c r="C101" s="42"/>
      <c r="D101" s="96">
        <v>1</v>
      </c>
      <c r="E101" s="31" t="s">
        <v>121</v>
      </c>
      <c r="F101" s="134">
        <v>0.36</v>
      </c>
      <c r="G101" s="31" t="s">
        <v>122</v>
      </c>
      <c r="H101" s="17"/>
      <c r="I101" s="38">
        <f>D101*F101</f>
        <v>0.36</v>
      </c>
      <c r="J101" s="59"/>
      <c r="K101" s="6"/>
      <c r="L101" s="40" t="s">
        <v>4</v>
      </c>
      <c r="M101" s="11" t="s">
        <v>4</v>
      </c>
      <c r="N101" s="40" t="s">
        <v>4</v>
      </c>
      <c r="U101" s="11" t="s">
        <v>4</v>
      </c>
    </row>
    <row r="102" spans="1:26" x14ac:dyDescent="0.25">
      <c r="A102" s="105" t="s">
        <v>115</v>
      </c>
      <c r="B102" s="135">
        <v>350</v>
      </c>
      <c r="C102" s="42" t="s">
        <v>116</v>
      </c>
      <c r="D102" s="96">
        <v>5</v>
      </c>
      <c r="E102" s="31" t="s">
        <v>117</v>
      </c>
      <c r="F102" s="134">
        <v>62.2</v>
      </c>
      <c r="G102" s="31" t="s">
        <v>118</v>
      </c>
      <c r="H102" s="17"/>
      <c r="I102" s="38">
        <f>(B102*D102/100)*(F102/1000)</f>
        <v>1.0885</v>
      </c>
      <c r="J102" s="59"/>
      <c r="K102" s="133"/>
      <c r="M102" s="136"/>
      <c r="U102" s="11"/>
      <c r="Z102" s="60" t="s">
        <v>4</v>
      </c>
    </row>
    <row r="103" spans="1:26" x14ac:dyDescent="0.25">
      <c r="A103" s="105" t="s">
        <v>134</v>
      </c>
      <c r="B103" s="42"/>
      <c r="C103" s="42"/>
      <c r="D103" s="96">
        <v>2</v>
      </c>
      <c r="E103" s="31" t="s">
        <v>135</v>
      </c>
      <c r="F103" s="134">
        <v>1.25</v>
      </c>
      <c r="G103" s="31" t="s">
        <v>136</v>
      </c>
      <c r="H103" s="17"/>
      <c r="I103" s="38">
        <f>D103*F103</f>
        <v>2.5</v>
      </c>
      <c r="J103" s="59"/>
      <c r="K103" s="6"/>
      <c r="L103" s="140"/>
      <c r="M103" s="141"/>
      <c r="N103" s="140"/>
      <c r="O103" s="140"/>
      <c r="P103" s="140"/>
      <c r="U103" s="11"/>
      <c r="Z103" s="60"/>
    </row>
    <row r="104" spans="1:26" ht="20.25" customHeight="1" x14ac:dyDescent="0.25">
      <c r="A104" s="112"/>
      <c r="B104" s="111" t="s">
        <v>137</v>
      </c>
      <c r="C104" s="112"/>
      <c r="D104" s="79"/>
      <c r="E104" s="112"/>
      <c r="F104" s="112"/>
      <c r="G104" s="112"/>
      <c r="H104" s="112"/>
      <c r="I104" s="112"/>
      <c r="J104" s="38">
        <f>ROUND((SUM(I98:I102)*A97)+(I103*(A97/2)),2)</f>
        <v>936.57</v>
      </c>
      <c r="K104" s="6"/>
      <c r="L104" s="140"/>
      <c r="M104" s="141"/>
      <c r="N104" s="140"/>
      <c r="O104" s="140"/>
      <c r="P104" s="140"/>
      <c r="U104" s="11" t="s">
        <v>4</v>
      </c>
      <c r="Z104" s="60" t="s">
        <v>4</v>
      </c>
    </row>
    <row r="105" spans="1:26" ht="21" customHeight="1" x14ac:dyDescent="0.25">
      <c r="A105" s="21">
        <f>G68</f>
        <v>14</v>
      </c>
      <c r="B105" s="15" t="s">
        <v>138</v>
      </c>
      <c r="C105" s="17"/>
      <c r="D105" s="17"/>
      <c r="E105" s="17"/>
      <c r="F105" s="139"/>
      <c r="G105" s="17"/>
      <c r="H105" s="17"/>
      <c r="I105" s="59"/>
      <c r="J105" s="59"/>
      <c r="K105" s="142"/>
      <c r="L105" s="40" t="s">
        <v>4</v>
      </c>
      <c r="M105" s="11" t="s">
        <v>4</v>
      </c>
      <c r="N105" s="40" t="s">
        <v>4</v>
      </c>
      <c r="U105" s="11" t="s">
        <v>4</v>
      </c>
      <c r="Z105" s="60" t="s">
        <v>4</v>
      </c>
    </row>
    <row r="106" spans="1:26" x14ac:dyDescent="0.25">
      <c r="A106" s="105" t="s">
        <v>139</v>
      </c>
      <c r="B106" s="42"/>
      <c r="C106" s="42"/>
      <c r="D106" s="96">
        <v>1</v>
      </c>
      <c r="E106" s="31" t="s">
        <v>121</v>
      </c>
      <c r="F106" s="134">
        <v>3.5</v>
      </c>
      <c r="G106" s="31" t="s">
        <v>122</v>
      </c>
      <c r="H106" s="17"/>
      <c r="I106" s="38">
        <f>D106*F106</f>
        <v>3.5</v>
      </c>
      <c r="J106" s="59"/>
      <c r="K106" s="142"/>
      <c r="L106" s="140"/>
      <c r="M106" s="141"/>
      <c r="N106" s="140"/>
      <c r="O106" s="140"/>
      <c r="P106" s="140"/>
      <c r="U106" s="11" t="s">
        <v>4</v>
      </c>
      <c r="Z106" s="60" t="s">
        <v>4</v>
      </c>
    </row>
    <row r="107" spans="1:26" ht="15" customHeight="1" x14ac:dyDescent="0.25">
      <c r="A107" s="105" t="s">
        <v>112</v>
      </c>
      <c r="B107" s="42"/>
      <c r="C107" s="42"/>
      <c r="D107" s="96">
        <v>2</v>
      </c>
      <c r="E107" s="31" t="s">
        <v>113</v>
      </c>
      <c r="F107" s="134">
        <v>1.51</v>
      </c>
      <c r="G107" s="31" t="s">
        <v>114</v>
      </c>
      <c r="H107" s="17"/>
      <c r="I107" s="38">
        <f>D107*F107</f>
        <v>3.02</v>
      </c>
      <c r="J107" s="59"/>
      <c r="K107" s="142"/>
      <c r="L107" s="40"/>
      <c r="M107" s="11"/>
      <c r="N107" s="40"/>
      <c r="U107" s="11"/>
      <c r="Z107" s="60"/>
    </row>
    <row r="108" spans="1:26" ht="15" customHeight="1" x14ac:dyDescent="0.25">
      <c r="A108" s="324" t="s">
        <v>120</v>
      </c>
      <c r="B108" s="324"/>
      <c r="C108" s="42"/>
      <c r="D108" s="96">
        <v>2</v>
      </c>
      <c r="E108" s="31" t="s">
        <v>121</v>
      </c>
      <c r="F108" s="134">
        <v>1.58</v>
      </c>
      <c r="G108" s="31" t="s">
        <v>122</v>
      </c>
      <c r="H108" s="17"/>
      <c r="I108" s="38">
        <f>D108*F108</f>
        <v>3.16</v>
      </c>
      <c r="J108" s="59"/>
      <c r="K108" s="142"/>
      <c r="L108" s="40"/>
      <c r="M108" s="11"/>
      <c r="N108" s="40"/>
      <c r="U108" s="11"/>
      <c r="Z108" s="60"/>
    </row>
    <row r="109" spans="1:26" x14ac:dyDescent="0.25">
      <c r="A109" s="324" t="s">
        <v>123</v>
      </c>
      <c r="B109" s="316"/>
      <c r="C109" s="42"/>
      <c r="D109" s="96">
        <v>1</v>
      </c>
      <c r="E109" s="31" t="s">
        <v>121</v>
      </c>
      <c r="F109" s="134">
        <v>2.04</v>
      </c>
      <c r="G109" s="31" t="s">
        <v>122</v>
      </c>
      <c r="H109" s="17"/>
      <c r="I109" s="38">
        <f>D109*F109</f>
        <v>2.04</v>
      </c>
      <c r="J109" s="59"/>
      <c r="K109" s="133"/>
      <c r="M109" s="137"/>
      <c r="U109" s="11"/>
      <c r="Z109" s="60"/>
    </row>
    <row r="110" spans="1:26" x14ac:dyDescent="0.25">
      <c r="A110" s="105" t="s">
        <v>115</v>
      </c>
      <c r="B110" s="135">
        <v>750</v>
      </c>
      <c r="C110" s="42" t="s">
        <v>116</v>
      </c>
      <c r="D110" s="96">
        <v>5</v>
      </c>
      <c r="E110" s="31" t="s">
        <v>117</v>
      </c>
      <c r="F110" s="134">
        <v>62.2</v>
      </c>
      <c r="G110" s="31" t="s">
        <v>118</v>
      </c>
      <c r="H110" s="17"/>
      <c r="I110" s="38">
        <f>(B110*D110/100)*(F110/1000)</f>
        <v>2.3325</v>
      </c>
      <c r="J110" s="59"/>
      <c r="K110" s="133"/>
      <c r="M110" s="136"/>
      <c r="U110" s="11"/>
      <c r="Z110" s="60" t="s">
        <v>4</v>
      </c>
    </row>
    <row r="111" spans="1:26" ht="21" customHeight="1" x14ac:dyDescent="0.25">
      <c r="A111" s="112"/>
      <c r="B111" s="111" t="s">
        <v>140</v>
      </c>
      <c r="C111" s="112"/>
      <c r="D111" s="112"/>
      <c r="E111" s="112"/>
      <c r="F111" s="138"/>
      <c r="G111" s="112"/>
      <c r="H111" s="112"/>
      <c r="I111" s="112"/>
      <c r="J111" s="38">
        <f>ROUND(A105*(SUM(I106:I110)),2)</f>
        <v>196.74</v>
      </c>
      <c r="K111" s="142"/>
      <c r="L111" s="40" t="s">
        <v>4</v>
      </c>
      <c r="M111" s="11" t="s">
        <v>4</v>
      </c>
      <c r="N111" s="40" t="s">
        <v>4</v>
      </c>
      <c r="U111" s="11" t="s">
        <v>4</v>
      </c>
      <c r="Z111" s="60" t="s">
        <v>4</v>
      </c>
    </row>
    <row r="112" spans="1:26" ht="21" customHeight="1" x14ac:dyDescent="0.25">
      <c r="A112" s="21">
        <f>H68</f>
        <v>13</v>
      </c>
      <c r="B112" s="15" t="s">
        <v>141</v>
      </c>
      <c r="C112" s="17"/>
      <c r="D112" s="17"/>
      <c r="E112" s="17"/>
      <c r="F112" s="143" t="s">
        <v>142</v>
      </c>
      <c r="G112" s="17"/>
      <c r="H112" s="17"/>
      <c r="I112" s="59"/>
      <c r="J112" s="59"/>
      <c r="K112" s="142"/>
      <c r="L112" s="40" t="s">
        <v>4</v>
      </c>
      <c r="M112" s="11" t="s">
        <v>4</v>
      </c>
      <c r="N112" s="40" t="s">
        <v>4</v>
      </c>
      <c r="U112" s="11" t="s">
        <v>4</v>
      </c>
      <c r="Z112" s="60" t="s">
        <v>4</v>
      </c>
    </row>
    <row r="113" spans="1:26" x14ac:dyDescent="0.25">
      <c r="A113" s="105" t="s">
        <v>115</v>
      </c>
      <c r="B113" s="135">
        <v>1050</v>
      </c>
      <c r="C113" s="42" t="s">
        <v>116</v>
      </c>
      <c r="D113" s="96">
        <v>5</v>
      </c>
      <c r="E113" s="31" t="s">
        <v>117</v>
      </c>
      <c r="F113" s="134">
        <v>62.2</v>
      </c>
      <c r="G113" s="31" t="s">
        <v>118</v>
      </c>
      <c r="H113" s="17"/>
      <c r="I113" s="38">
        <f>(B113*D113/100)*(F113/1000)</f>
        <v>3.2655000000000003</v>
      </c>
      <c r="J113" s="59"/>
      <c r="K113" s="133"/>
      <c r="M113" s="136"/>
      <c r="U113" s="11"/>
      <c r="Z113" s="60" t="s">
        <v>4</v>
      </c>
    </row>
    <row r="114" spans="1:26" x14ac:dyDescent="0.25">
      <c r="A114" s="105" t="s">
        <v>124</v>
      </c>
      <c r="B114" s="135"/>
      <c r="C114" s="42"/>
      <c r="D114" s="96">
        <v>1</v>
      </c>
      <c r="E114" s="31" t="s">
        <v>125</v>
      </c>
      <c r="F114" s="134">
        <v>27</v>
      </c>
      <c r="G114" s="31" t="s">
        <v>126</v>
      </c>
      <c r="H114" s="17"/>
      <c r="I114" s="38">
        <f>D114*F114</f>
        <v>27</v>
      </c>
      <c r="J114" s="59"/>
      <c r="K114" s="133"/>
      <c r="M114" s="136"/>
      <c r="U114" s="11"/>
      <c r="Z114" s="60"/>
    </row>
    <row r="115" spans="1:26" x14ac:dyDescent="0.25">
      <c r="A115" s="105" t="s">
        <v>127</v>
      </c>
      <c r="B115" s="42"/>
      <c r="C115" s="42"/>
      <c r="D115" s="96">
        <v>1</v>
      </c>
      <c r="E115" s="31" t="s">
        <v>128</v>
      </c>
      <c r="F115" s="134">
        <v>3.5</v>
      </c>
      <c r="G115" s="31" t="s">
        <v>126</v>
      </c>
      <c r="H115" s="17"/>
      <c r="I115" s="38">
        <f>D115*F115</f>
        <v>3.5</v>
      </c>
      <c r="J115" s="59"/>
      <c r="K115" s="133"/>
      <c r="M115" s="137"/>
      <c r="U115" s="11"/>
      <c r="Z115" s="60"/>
    </row>
    <row r="116" spans="1:26" ht="21" customHeight="1" x14ac:dyDescent="0.25">
      <c r="A116" s="112"/>
      <c r="B116" s="111" t="s">
        <v>143</v>
      </c>
      <c r="C116" s="112"/>
      <c r="D116" s="112"/>
      <c r="E116" s="112"/>
      <c r="F116" s="112"/>
      <c r="G116" s="112"/>
      <c r="H116" s="112"/>
      <c r="I116" s="112"/>
      <c r="J116" s="38">
        <f>ROUND(SUM(I113:I115)*A112,2)</f>
        <v>438.95</v>
      </c>
      <c r="K116" s="6"/>
      <c r="L116" s="40" t="s">
        <v>4</v>
      </c>
      <c r="M116" s="11" t="s">
        <v>4</v>
      </c>
      <c r="N116" s="40" t="s">
        <v>4</v>
      </c>
      <c r="U116" s="11" t="s">
        <v>4</v>
      </c>
    </row>
    <row r="117" spans="1:26" ht="24" customHeight="1" x14ac:dyDescent="0.25">
      <c r="A117" s="324" t="s">
        <v>144</v>
      </c>
      <c r="B117" s="344"/>
      <c r="D117" s="96">
        <v>1</v>
      </c>
      <c r="E117" s="17" t="s">
        <v>145</v>
      </c>
      <c r="F117" s="144">
        <v>250</v>
      </c>
      <c r="G117" s="31" t="s">
        <v>146</v>
      </c>
      <c r="H117" s="145" t="s">
        <v>147</v>
      </c>
      <c r="I117" s="146"/>
      <c r="J117" s="38">
        <f>D117*F117</f>
        <v>250</v>
      </c>
      <c r="K117" s="6"/>
      <c r="L117" s="40" t="s">
        <v>4</v>
      </c>
      <c r="M117" s="11" t="s">
        <v>4</v>
      </c>
      <c r="N117" s="40" t="s">
        <v>4</v>
      </c>
      <c r="U117" s="11" t="s">
        <v>4</v>
      </c>
    </row>
    <row r="118" spans="1:26" ht="12" customHeight="1" x14ac:dyDescent="0.25">
      <c r="A118" s="105" t="s">
        <v>148</v>
      </c>
      <c r="B118" s="31"/>
      <c r="D118" s="96"/>
      <c r="E118" s="17"/>
      <c r="F118" s="144"/>
      <c r="G118" s="31"/>
      <c r="H118" s="17"/>
      <c r="I118" s="59"/>
      <c r="J118" s="38"/>
      <c r="K118" s="6"/>
      <c r="L118" s="40"/>
      <c r="M118" s="11"/>
      <c r="N118" s="40"/>
      <c r="U118" s="11"/>
    </row>
    <row r="119" spans="1:26" ht="20.25" customHeight="1" x14ac:dyDescent="0.25">
      <c r="A119" s="147" t="s">
        <v>149</v>
      </c>
      <c r="B119" s="17"/>
      <c r="C119" s="145" t="s">
        <v>147</v>
      </c>
      <c r="D119" s="145"/>
      <c r="E119" s="145"/>
      <c r="F119" s="145"/>
      <c r="G119" s="145"/>
      <c r="H119" s="145"/>
      <c r="I119" s="145"/>
      <c r="J119" s="148">
        <f>J96+J104+J111+J116+J117</f>
        <v>2672.01</v>
      </c>
      <c r="K119" s="133"/>
      <c r="L119" s="40" t="s">
        <v>4</v>
      </c>
      <c r="M119" s="11"/>
      <c r="N119" s="40"/>
      <c r="U119" s="11" t="s">
        <v>4</v>
      </c>
    </row>
    <row r="120" spans="1:26" ht="15.6" thickBot="1" x14ac:dyDescent="0.3">
      <c r="A120" s="149"/>
      <c r="B120" s="150"/>
      <c r="C120" s="150"/>
      <c r="D120" s="150"/>
      <c r="E120" s="151"/>
      <c r="F120" s="152"/>
      <c r="G120" s="151"/>
      <c r="H120" s="153"/>
      <c r="I120" s="153"/>
      <c r="J120" s="154"/>
      <c r="K120" s="133"/>
      <c r="L120" s="40"/>
      <c r="M120" s="40"/>
      <c r="N120" s="40"/>
      <c r="S120" s="11" t="s">
        <v>4</v>
      </c>
      <c r="X120" s="60" t="s">
        <v>4</v>
      </c>
    </row>
    <row r="121" spans="1:26" ht="24" customHeight="1" x14ac:dyDescent="0.25">
      <c r="F121" s="155" t="s">
        <v>150</v>
      </c>
      <c r="G121" s="137"/>
      <c r="H121" s="137"/>
      <c r="J121" s="137"/>
      <c r="K121" s="11"/>
      <c r="L121" s="40"/>
      <c r="S121" s="11"/>
      <c r="X121" s="60"/>
    </row>
    <row r="122" spans="1:26" ht="15" customHeight="1" x14ac:dyDescent="0.25">
      <c r="A122" s="343" t="s">
        <v>151</v>
      </c>
      <c r="B122" s="316"/>
      <c r="C122" s="316"/>
      <c r="D122" s="316"/>
      <c r="E122" s="316"/>
      <c r="F122" s="316"/>
      <c r="G122" s="316"/>
      <c r="H122" s="316"/>
      <c r="I122" s="316"/>
      <c r="J122" s="316"/>
      <c r="K122" s="11"/>
      <c r="L122" s="40"/>
      <c r="S122" s="11"/>
      <c r="X122" s="60"/>
    </row>
    <row r="123" spans="1:26" x14ac:dyDescent="0.25">
      <c r="D123" s="156"/>
    </row>
    <row r="124" spans="1:26" x14ac:dyDescent="0.25">
      <c r="D124" s="156"/>
    </row>
    <row r="141" spans="1:10" x14ac:dyDescent="0.25">
      <c r="F141" s="157"/>
    </row>
    <row r="142" spans="1:10" x14ac:dyDescent="0.25">
      <c r="A142" s="11"/>
      <c r="B142" s="11"/>
      <c r="C142" s="11"/>
      <c r="D142" s="11"/>
      <c r="E142" s="11"/>
      <c r="G142" s="11"/>
      <c r="H142" s="11"/>
      <c r="I142" s="11"/>
      <c r="J142" s="11"/>
    </row>
    <row r="156" spans="1:16" x14ac:dyDescent="0.25">
      <c r="B156" s="40"/>
      <c r="C156" s="40"/>
      <c r="L156" s="137"/>
      <c r="M156" s="40"/>
      <c r="N156" s="137"/>
      <c r="O156" s="137"/>
      <c r="P156" s="137"/>
    </row>
    <row r="157" spans="1:16" x14ac:dyDescent="0.25">
      <c r="L157" s="137"/>
      <c r="M157" s="40"/>
      <c r="N157" s="137"/>
      <c r="O157" s="137"/>
      <c r="P157" s="137"/>
    </row>
    <row r="158" spans="1:16" x14ac:dyDescent="0.25">
      <c r="F158" s="157"/>
      <c r="L158" s="137"/>
      <c r="M158" s="40"/>
      <c r="N158" s="137"/>
      <c r="O158" s="137"/>
      <c r="P158" s="137"/>
    </row>
    <row r="159" spans="1:16" x14ac:dyDescent="0.25">
      <c r="A159" s="40"/>
      <c r="B159" s="40"/>
      <c r="C159" s="40"/>
      <c r="D159" s="40"/>
      <c r="E159" s="40"/>
    </row>
    <row r="160" spans="1:16" x14ac:dyDescent="0.25">
      <c r="B160" s="40"/>
      <c r="C160" s="40"/>
      <c r="K160" s="40"/>
      <c r="L160" s="137"/>
      <c r="M160" s="40"/>
      <c r="N160" s="137"/>
      <c r="O160" s="137"/>
      <c r="P160" s="137"/>
    </row>
    <row r="161" spans="2:16" x14ac:dyDescent="0.25">
      <c r="B161" s="40"/>
      <c r="C161" s="40"/>
      <c r="L161" s="137"/>
      <c r="M161" s="40"/>
      <c r="N161" s="137"/>
      <c r="O161" s="137"/>
      <c r="P161" s="137"/>
    </row>
    <row r="162" spans="2:16" x14ac:dyDescent="0.25">
      <c r="B162" s="40"/>
      <c r="C162" s="40"/>
      <c r="L162" s="137"/>
      <c r="M162" s="40"/>
      <c r="N162" s="137"/>
      <c r="O162" s="137"/>
      <c r="P162" s="137"/>
    </row>
    <row r="163" spans="2:16" x14ac:dyDescent="0.25">
      <c r="B163" s="40"/>
      <c r="C163" s="40"/>
      <c r="L163" s="137"/>
      <c r="M163" s="40"/>
      <c r="N163" s="137"/>
      <c r="O163" s="137"/>
      <c r="P163" s="137"/>
    </row>
    <row r="164" spans="2:16" x14ac:dyDescent="0.25">
      <c r="B164" s="40"/>
      <c r="C164" s="40"/>
    </row>
    <row r="165" spans="2:16" x14ac:dyDescent="0.25">
      <c r="B165" s="40"/>
      <c r="C165" s="40"/>
      <c r="L165" s="137"/>
      <c r="M165" s="40"/>
      <c r="N165" s="137"/>
      <c r="O165" s="137"/>
      <c r="P165" s="137"/>
    </row>
    <row r="166" spans="2:16" x14ac:dyDescent="0.25">
      <c r="B166" s="40"/>
      <c r="C166" s="40"/>
      <c r="L166" s="137"/>
      <c r="M166" s="40"/>
      <c r="N166" s="137"/>
      <c r="O166" s="137"/>
      <c r="P166" s="137"/>
    </row>
    <row r="167" spans="2:16" x14ac:dyDescent="0.25">
      <c r="B167" s="40"/>
      <c r="C167" s="40"/>
      <c r="L167" s="137"/>
      <c r="M167" s="40"/>
      <c r="N167" s="137"/>
      <c r="O167" s="137"/>
      <c r="P167" s="137"/>
    </row>
    <row r="168" spans="2:16" x14ac:dyDescent="0.25">
      <c r="B168" s="40"/>
      <c r="C168" s="40"/>
    </row>
    <row r="169" spans="2:16" x14ac:dyDescent="0.25">
      <c r="B169" s="40"/>
      <c r="C169" s="40"/>
    </row>
    <row r="170" spans="2:16" x14ac:dyDescent="0.25">
      <c r="B170" s="40"/>
      <c r="C170" s="40"/>
    </row>
    <row r="171" spans="2:16" x14ac:dyDescent="0.25">
      <c r="B171" s="40"/>
      <c r="C171" s="40"/>
    </row>
    <row r="172" spans="2:16" x14ac:dyDescent="0.25">
      <c r="B172" s="40"/>
      <c r="C172" s="40"/>
    </row>
    <row r="173" spans="2:16" x14ac:dyDescent="0.25">
      <c r="B173" s="40"/>
      <c r="C173" s="40"/>
    </row>
    <row r="174" spans="2:16" x14ac:dyDescent="0.25">
      <c r="B174" s="40"/>
      <c r="C174" s="40"/>
    </row>
    <row r="175" spans="2:16" x14ac:dyDescent="0.25">
      <c r="B175" s="40"/>
      <c r="C175" s="40"/>
    </row>
    <row r="176" spans="2:16" x14ac:dyDescent="0.25">
      <c r="B176" s="40"/>
      <c r="C176" s="40"/>
    </row>
    <row r="177" spans="2:3" x14ac:dyDescent="0.25">
      <c r="B177" s="40"/>
      <c r="C177" s="40"/>
    </row>
    <row r="178" spans="2:3" x14ac:dyDescent="0.25">
      <c r="B178" s="40"/>
      <c r="C178" s="40"/>
    </row>
    <row r="179" spans="2:3" x14ac:dyDescent="0.25">
      <c r="B179" s="40"/>
      <c r="C179" s="40"/>
    </row>
    <row r="180" spans="2:3" x14ac:dyDescent="0.25">
      <c r="B180" s="40"/>
      <c r="C180" s="40"/>
    </row>
    <row r="181" spans="2:3" x14ac:dyDescent="0.25">
      <c r="B181" s="40"/>
      <c r="C181" s="40"/>
    </row>
    <row r="182" spans="2:3" x14ac:dyDescent="0.25">
      <c r="B182" s="40"/>
      <c r="C182" s="40"/>
    </row>
    <row r="183" spans="2:3" x14ac:dyDescent="0.25">
      <c r="B183" s="40"/>
      <c r="C183" s="40"/>
    </row>
    <row r="184" spans="2:3" x14ac:dyDescent="0.25">
      <c r="B184" s="40"/>
      <c r="C184" s="40"/>
    </row>
    <row r="185" spans="2:3" x14ac:dyDescent="0.25">
      <c r="B185" s="40"/>
      <c r="C185" s="40"/>
    </row>
    <row r="186" spans="2:3" x14ac:dyDescent="0.25">
      <c r="B186" s="40"/>
      <c r="C186" s="40"/>
    </row>
    <row r="187" spans="2:3" x14ac:dyDescent="0.25">
      <c r="B187" s="40"/>
      <c r="C187" s="40"/>
    </row>
    <row r="188" spans="2:3" x14ac:dyDescent="0.25">
      <c r="B188" s="40"/>
      <c r="C188" s="40"/>
    </row>
    <row r="189" spans="2:3" x14ac:dyDescent="0.25">
      <c r="B189" s="40"/>
      <c r="C189" s="40"/>
    </row>
    <row r="190" spans="2:3" x14ac:dyDescent="0.25">
      <c r="B190" s="40"/>
      <c r="C190" s="40"/>
    </row>
    <row r="191" spans="2:3" x14ac:dyDescent="0.25">
      <c r="B191" s="40"/>
      <c r="C191" s="40"/>
    </row>
    <row r="192" spans="2:3" x14ac:dyDescent="0.25">
      <c r="B192" s="40"/>
      <c r="C192" s="40"/>
    </row>
    <row r="193" spans="2:3" x14ac:dyDescent="0.25">
      <c r="B193" s="40"/>
      <c r="C193" s="40"/>
    </row>
    <row r="194" spans="2:3" x14ac:dyDescent="0.25">
      <c r="B194" s="40"/>
      <c r="C194" s="40"/>
    </row>
    <row r="195" spans="2:3" x14ac:dyDescent="0.25">
      <c r="B195" s="40"/>
      <c r="C195" s="40"/>
    </row>
    <row r="196" spans="2:3" x14ac:dyDescent="0.25">
      <c r="B196" s="40"/>
      <c r="C196" s="40"/>
    </row>
    <row r="197" spans="2:3" x14ac:dyDescent="0.25">
      <c r="B197" s="40"/>
      <c r="C197" s="40"/>
    </row>
    <row r="198" spans="2:3" x14ac:dyDescent="0.25">
      <c r="B198" s="40"/>
      <c r="C198" s="40"/>
    </row>
    <row r="199" spans="2:3" x14ac:dyDescent="0.25">
      <c r="B199" s="40"/>
      <c r="C199" s="40"/>
    </row>
    <row r="200" spans="2:3" x14ac:dyDescent="0.25">
      <c r="B200" s="40"/>
      <c r="C200" s="40"/>
    </row>
    <row r="201" spans="2:3" x14ac:dyDescent="0.25">
      <c r="B201" s="40"/>
      <c r="C201" s="40"/>
    </row>
    <row r="202" spans="2:3" x14ac:dyDescent="0.25">
      <c r="B202" s="40"/>
      <c r="C202" s="40"/>
    </row>
    <row r="203" spans="2:3" x14ac:dyDescent="0.25">
      <c r="B203" s="40"/>
      <c r="C203" s="40"/>
    </row>
    <row r="204" spans="2:3" x14ac:dyDescent="0.25">
      <c r="B204" s="40"/>
      <c r="C204" s="40"/>
    </row>
    <row r="205" spans="2:3" x14ac:dyDescent="0.25">
      <c r="B205" s="40"/>
      <c r="C205" s="40"/>
    </row>
    <row r="206" spans="2:3" x14ac:dyDescent="0.25">
      <c r="B206" s="40"/>
      <c r="C206" s="40"/>
    </row>
    <row r="207" spans="2:3" x14ac:dyDescent="0.25">
      <c r="B207" s="40"/>
      <c r="C207" s="40"/>
    </row>
    <row r="208" spans="2:3" x14ac:dyDescent="0.25">
      <c r="B208" s="40"/>
      <c r="C208" s="40"/>
    </row>
    <row r="209" spans="2:3" x14ac:dyDescent="0.25">
      <c r="B209" s="40"/>
      <c r="C209" s="40"/>
    </row>
    <row r="210" spans="2:3" x14ac:dyDescent="0.25">
      <c r="B210" s="40"/>
      <c r="C210" s="40"/>
    </row>
    <row r="211" spans="2:3" x14ac:dyDescent="0.25">
      <c r="B211" s="40"/>
      <c r="C211" s="40"/>
    </row>
    <row r="212" spans="2:3" x14ac:dyDescent="0.25">
      <c r="B212" s="40"/>
      <c r="C212" s="40"/>
    </row>
    <row r="213" spans="2:3" x14ac:dyDescent="0.25">
      <c r="B213" s="40"/>
      <c r="C213" s="40"/>
    </row>
    <row r="214" spans="2:3" x14ac:dyDescent="0.25">
      <c r="B214" s="40"/>
      <c r="C214" s="40"/>
    </row>
    <row r="215" spans="2:3" x14ac:dyDescent="0.25">
      <c r="B215" s="40"/>
      <c r="C215" s="40"/>
    </row>
    <row r="216" spans="2:3" x14ac:dyDescent="0.25">
      <c r="B216" s="40"/>
      <c r="C216" s="40"/>
    </row>
    <row r="217" spans="2:3" x14ac:dyDescent="0.25">
      <c r="B217" s="40"/>
      <c r="C217" s="40"/>
    </row>
    <row r="218" spans="2:3" x14ac:dyDescent="0.25">
      <c r="B218" s="40"/>
      <c r="C218" s="40"/>
    </row>
    <row r="219" spans="2:3" x14ac:dyDescent="0.25">
      <c r="B219" s="40"/>
      <c r="C219" s="40"/>
    </row>
  </sheetData>
  <mergeCells count="20">
    <mergeCell ref="A122:J122"/>
    <mergeCell ref="A93:B93"/>
    <mergeCell ref="A99:B99"/>
    <mergeCell ref="A100:B100"/>
    <mergeCell ref="A108:B108"/>
    <mergeCell ref="A109:B109"/>
    <mergeCell ref="A117:B117"/>
    <mergeCell ref="A92:B92"/>
    <mergeCell ref="A3:J3"/>
    <mergeCell ref="B7:D7"/>
    <mergeCell ref="C30:D30"/>
    <mergeCell ref="C31:D31"/>
    <mergeCell ref="A47:F47"/>
    <mergeCell ref="A50:B50"/>
    <mergeCell ref="D50:J50"/>
    <mergeCell ref="D52:J52"/>
    <mergeCell ref="A62:J62"/>
    <mergeCell ref="A65:F65"/>
    <mergeCell ref="B68:C68"/>
    <mergeCell ref="B69:C69"/>
  </mergeCells>
  <printOptions horizontalCentered="1"/>
  <pageMargins left="1" right="1" top="0.5" bottom="0.6" header="0.5" footer="0.5"/>
  <pageSetup scale="67" fitToHeight="2" orientation="portrait" horizontalDpi="1200" verticalDpi="1200" r:id="rId1"/>
  <headerFooter alignWithMargins="0"/>
  <rowBreaks count="1" manualBreakCount="1">
    <brk id="63" max="9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showGridLines="0" topLeftCell="A25" zoomScaleNormal="100" workbookViewId="0">
      <selection activeCell="I28" sqref="I28"/>
    </sheetView>
  </sheetViews>
  <sheetFormatPr defaultColWidth="9.21875" defaultRowHeight="15.6" x14ac:dyDescent="0.3"/>
  <cols>
    <col min="1" max="1" width="2.44140625" style="163" customWidth="1"/>
    <col min="2" max="2" width="47.5546875" style="160" customWidth="1"/>
    <col min="3" max="3" width="13.5546875" style="160" customWidth="1"/>
    <col min="4" max="4" width="7.21875" style="160" customWidth="1"/>
    <col min="5" max="5" width="13.5546875" style="160" customWidth="1"/>
    <col min="6" max="6" width="4.21875" style="160" customWidth="1"/>
    <col min="7" max="7" width="13.5546875" style="163" customWidth="1"/>
    <col min="8" max="16384" width="9.21875" style="160"/>
  </cols>
  <sheetData>
    <row r="1" spans="1:8" ht="28.5" customHeight="1" x14ac:dyDescent="0.3">
      <c r="A1" s="345" t="s">
        <v>169</v>
      </c>
      <c r="B1" s="345"/>
      <c r="C1" s="345"/>
      <c r="D1" s="345"/>
      <c r="E1" s="345"/>
      <c r="F1" s="345"/>
      <c r="G1" s="345"/>
      <c r="H1" s="160">
        <v>2020</v>
      </c>
    </row>
    <row r="2" spans="1:8" ht="12" customHeight="1" x14ac:dyDescent="0.3">
      <c r="A2" s="161"/>
      <c r="B2" s="162"/>
      <c r="C2" s="162"/>
      <c r="D2" s="162"/>
      <c r="E2" s="162"/>
      <c r="F2" s="162"/>
      <c r="G2" s="161"/>
    </row>
    <row r="3" spans="1:8" ht="18" customHeight="1" x14ac:dyDescent="0.3">
      <c r="A3" s="163" t="s">
        <v>170</v>
      </c>
      <c r="G3" s="164">
        <v>5435150</v>
      </c>
    </row>
    <row r="4" spans="1:8" x14ac:dyDescent="0.3">
      <c r="C4" s="165" t="s">
        <v>171</v>
      </c>
      <c r="D4" s="165" t="s">
        <v>172</v>
      </c>
      <c r="E4" s="165" t="s">
        <v>173</v>
      </c>
      <c r="F4" s="165"/>
      <c r="G4" s="166"/>
    </row>
    <row r="5" spans="1:8" ht="20.100000000000001" customHeight="1" x14ac:dyDescent="0.3">
      <c r="A5" s="167"/>
      <c r="B5" s="168" t="s">
        <v>174</v>
      </c>
      <c r="C5" s="169"/>
      <c r="D5" s="170"/>
      <c r="E5" s="169"/>
      <c r="F5" s="171" t="s">
        <v>175</v>
      </c>
      <c r="G5" s="172" t="str">
        <f>IF(AND(C5="",E5=""),"",C5-E5)</f>
        <v/>
      </c>
    </row>
    <row r="6" spans="1:8" ht="20.100000000000001" customHeight="1" x14ac:dyDescent="0.3">
      <c r="A6" s="167"/>
      <c r="B6" s="168" t="s">
        <v>176</v>
      </c>
      <c r="C6" s="173"/>
      <c r="D6" s="170"/>
      <c r="E6" s="173"/>
      <c r="F6" s="171" t="s">
        <v>175</v>
      </c>
      <c r="G6" s="172" t="str">
        <f>IF(AND(C6="",E6=""),"",C6-E6)</f>
        <v/>
      </c>
    </row>
    <row r="7" spans="1:8" ht="20.100000000000001" customHeight="1" x14ac:dyDescent="0.3">
      <c r="A7" s="167"/>
      <c r="B7" s="168" t="s">
        <v>177</v>
      </c>
      <c r="C7" s="174"/>
      <c r="D7" s="175"/>
      <c r="E7" s="175"/>
      <c r="F7" s="171" t="s">
        <v>175</v>
      </c>
      <c r="G7" s="169"/>
    </row>
    <row r="8" spans="1:8" ht="20.100000000000001" customHeight="1" x14ac:dyDescent="0.3">
      <c r="A8" s="167"/>
      <c r="B8" s="168" t="s">
        <v>178</v>
      </c>
      <c r="C8" s="174"/>
      <c r="D8" s="175"/>
      <c r="E8" s="175"/>
      <c r="F8" s="171" t="s">
        <v>175</v>
      </c>
      <c r="G8" s="169"/>
    </row>
    <row r="9" spans="1:8" ht="20.100000000000001" customHeight="1" x14ac:dyDescent="0.3">
      <c r="A9" s="167"/>
      <c r="B9" s="168" t="s">
        <v>179</v>
      </c>
      <c r="C9" s="175"/>
      <c r="D9" s="175"/>
      <c r="E9" s="175"/>
      <c r="F9" s="171" t="s">
        <v>175</v>
      </c>
      <c r="G9" s="169"/>
    </row>
    <row r="10" spans="1:8" ht="6.75" customHeight="1" x14ac:dyDescent="0.3">
      <c r="B10" s="176"/>
      <c r="G10" s="177"/>
    </row>
    <row r="11" spans="1:8" ht="20.100000000000001" customHeight="1" x14ac:dyDescent="0.3">
      <c r="A11" s="163" t="s">
        <v>180</v>
      </c>
      <c r="C11" s="165" t="s">
        <v>181</v>
      </c>
      <c r="D11" s="165" t="s">
        <v>172</v>
      </c>
      <c r="E11" s="165" t="s">
        <v>182</v>
      </c>
      <c r="F11" s="165"/>
      <c r="G11" s="166"/>
    </row>
    <row r="12" spans="1:8" ht="20.100000000000001" customHeight="1" x14ac:dyDescent="0.3">
      <c r="B12" s="176" t="s">
        <v>183</v>
      </c>
      <c r="C12" s="164">
        <v>129543</v>
      </c>
      <c r="D12" s="178"/>
      <c r="E12" s="164">
        <v>274075</v>
      </c>
      <c r="F12" s="179" t="s">
        <v>175</v>
      </c>
      <c r="G12" s="180">
        <f t="shared" ref="G12:G14" si="0">IF(AND(C12="",E12=""),"",C12-E12)</f>
        <v>-144532</v>
      </c>
    </row>
    <row r="13" spans="1:8" ht="20.100000000000001" customHeight="1" x14ac:dyDescent="0.3">
      <c r="B13" s="176" t="s">
        <v>184</v>
      </c>
      <c r="C13" s="164">
        <v>1107436</v>
      </c>
      <c r="D13" s="178"/>
      <c r="E13" s="164">
        <v>811867</v>
      </c>
      <c r="F13" s="179" t="s">
        <v>175</v>
      </c>
      <c r="G13" s="180">
        <f t="shared" si="0"/>
        <v>295569</v>
      </c>
    </row>
    <row r="14" spans="1:8" ht="20.100000000000001" customHeight="1" x14ac:dyDescent="0.3">
      <c r="B14" s="176" t="s">
        <v>185</v>
      </c>
      <c r="C14" s="181">
        <v>9990</v>
      </c>
      <c r="D14" s="178"/>
      <c r="E14" s="181">
        <v>0</v>
      </c>
      <c r="F14" s="179" t="s">
        <v>175</v>
      </c>
      <c r="G14" s="180">
        <f t="shared" si="0"/>
        <v>9990</v>
      </c>
    </row>
    <row r="15" spans="1:8" ht="12" customHeight="1" x14ac:dyDescent="0.3">
      <c r="B15" s="176"/>
      <c r="C15" s="182"/>
      <c r="E15" s="182"/>
      <c r="F15" s="182"/>
      <c r="G15" s="183"/>
    </row>
    <row r="16" spans="1:8" ht="20.100000000000001" customHeight="1" thickBot="1" x14ac:dyDescent="0.35">
      <c r="A16" s="184" t="s">
        <v>186</v>
      </c>
      <c r="G16" s="185">
        <f>IF(SUM(G3:G14)=0,"",SUM(G3:G14))</f>
        <v>5596177</v>
      </c>
    </row>
    <row r="17" spans="1:7" ht="6" customHeight="1" x14ac:dyDescent="0.3">
      <c r="A17" s="184"/>
      <c r="G17" s="186"/>
    </row>
    <row r="18" spans="1:7" ht="12" customHeight="1" x14ac:dyDescent="0.3">
      <c r="A18" s="161"/>
      <c r="B18" s="162"/>
      <c r="C18" s="162"/>
      <c r="D18" s="162"/>
      <c r="E18" s="162"/>
      <c r="F18" s="162"/>
      <c r="G18" s="187"/>
    </row>
    <row r="19" spans="1:7" ht="17.25" customHeight="1" x14ac:dyDescent="0.3">
      <c r="A19" s="163" t="s">
        <v>187</v>
      </c>
      <c r="G19" s="164">
        <v>5370770</v>
      </c>
    </row>
    <row r="20" spans="1:7" ht="19.5" customHeight="1" x14ac:dyDescent="0.3">
      <c r="A20" s="184" t="s">
        <v>188</v>
      </c>
      <c r="F20" s="188" t="s">
        <v>189</v>
      </c>
      <c r="G20" s="181">
        <v>444990</v>
      </c>
    </row>
    <row r="21" spans="1:7" ht="19.5" customHeight="1" x14ac:dyDescent="0.3">
      <c r="A21" s="184" t="s">
        <v>190</v>
      </c>
      <c r="F21" s="188" t="s">
        <v>191</v>
      </c>
      <c r="G21" s="189">
        <f>IF(OR(G19="",G20=""),"",G19-G20)</f>
        <v>4925780</v>
      </c>
    </row>
    <row r="22" spans="1:7" ht="20.100000000000001" customHeight="1" x14ac:dyDescent="0.3">
      <c r="A22" s="184" t="s">
        <v>192</v>
      </c>
      <c r="F22" s="179" t="s">
        <v>175</v>
      </c>
      <c r="G22" s="181">
        <v>444990</v>
      </c>
    </row>
    <row r="23" spans="1:7" ht="14.25" customHeight="1" x14ac:dyDescent="0.3">
      <c r="A23" s="160"/>
      <c r="F23" s="188"/>
      <c r="G23" s="177"/>
    </row>
    <row r="24" spans="1:7" ht="20.100000000000001" customHeight="1" x14ac:dyDescent="0.3">
      <c r="A24" s="163" t="s">
        <v>193</v>
      </c>
      <c r="C24" s="165" t="s">
        <v>181</v>
      </c>
      <c r="D24" s="165" t="s">
        <v>172</v>
      </c>
      <c r="E24" s="165" t="s">
        <v>182</v>
      </c>
      <c r="F24" s="165"/>
      <c r="G24" s="183"/>
    </row>
    <row r="25" spans="1:7" ht="20.100000000000001" customHeight="1" x14ac:dyDescent="0.3">
      <c r="B25" s="176" t="s">
        <v>194</v>
      </c>
      <c r="C25" s="164">
        <v>384201</v>
      </c>
      <c r="D25" s="178"/>
      <c r="E25" s="164">
        <v>417009</v>
      </c>
      <c r="F25" s="179" t="s">
        <v>175</v>
      </c>
      <c r="G25" s="180">
        <f t="shared" ref="G25:G29" si="1">IF(AND(C25="",E25=""),"",C25-E25)</f>
        <v>-32808</v>
      </c>
    </row>
    <row r="26" spans="1:7" ht="20.100000000000001" customHeight="1" x14ac:dyDescent="0.3">
      <c r="B26" s="176" t="s">
        <v>195</v>
      </c>
      <c r="C26" s="181"/>
      <c r="D26" s="178"/>
      <c r="E26" s="181"/>
      <c r="F26" s="179" t="s">
        <v>175</v>
      </c>
      <c r="G26" s="180" t="str">
        <f t="shared" si="1"/>
        <v/>
      </c>
    </row>
    <row r="27" spans="1:7" ht="20.100000000000001" customHeight="1" x14ac:dyDescent="0.3">
      <c r="B27" s="176" t="s">
        <v>196</v>
      </c>
      <c r="C27" s="181"/>
      <c r="D27" s="178"/>
      <c r="E27" s="181"/>
      <c r="F27" s="179" t="s">
        <v>175</v>
      </c>
      <c r="G27" s="180" t="str">
        <f t="shared" si="1"/>
        <v/>
      </c>
    </row>
    <row r="28" spans="1:7" ht="20.100000000000001" customHeight="1" x14ac:dyDescent="0.3">
      <c r="B28" s="176" t="s">
        <v>197</v>
      </c>
      <c r="C28" s="181"/>
      <c r="D28" s="178"/>
      <c r="E28" s="181"/>
      <c r="F28" s="179" t="s">
        <v>175</v>
      </c>
      <c r="G28" s="180" t="str">
        <f t="shared" si="1"/>
        <v/>
      </c>
    </row>
    <row r="29" spans="1:7" ht="20.100000000000001" customHeight="1" x14ac:dyDescent="0.3">
      <c r="B29" s="176" t="s">
        <v>198</v>
      </c>
      <c r="C29" s="181"/>
      <c r="D29" s="178"/>
      <c r="E29" s="181"/>
      <c r="F29" s="179" t="s">
        <v>175</v>
      </c>
      <c r="G29" s="180" t="str">
        <f t="shared" si="1"/>
        <v/>
      </c>
    </row>
    <row r="30" spans="1:7" ht="12" customHeight="1" x14ac:dyDescent="0.3">
      <c r="B30" s="176"/>
      <c r="C30" s="190"/>
      <c r="D30" s="178"/>
      <c r="E30" s="190"/>
      <c r="F30" s="178"/>
      <c r="G30" s="191"/>
    </row>
    <row r="31" spans="1:7" ht="20.100000000000001" customHeight="1" x14ac:dyDescent="0.3">
      <c r="A31" s="163" t="s">
        <v>199</v>
      </c>
      <c r="C31" s="165" t="s">
        <v>181</v>
      </c>
      <c r="D31" s="165" t="s">
        <v>172</v>
      </c>
      <c r="E31" s="165" t="s">
        <v>182</v>
      </c>
      <c r="F31" s="165"/>
      <c r="G31" s="183"/>
    </row>
    <row r="32" spans="1:7" ht="20.100000000000001" customHeight="1" x14ac:dyDescent="0.3">
      <c r="B32" s="176" t="s">
        <v>200</v>
      </c>
      <c r="C32" s="164">
        <v>40000</v>
      </c>
      <c r="D32" s="178"/>
      <c r="E32" s="164">
        <v>0</v>
      </c>
      <c r="F32" s="179" t="s">
        <v>189</v>
      </c>
      <c r="G32" s="180">
        <f t="shared" ref="G32:G35" si="2">IF(AND(C32="",E32=""),"",C32-E32)</f>
        <v>40000</v>
      </c>
    </row>
    <row r="33" spans="1:11" ht="20.100000000000001" customHeight="1" x14ac:dyDescent="0.3">
      <c r="B33" s="176" t="s">
        <v>201</v>
      </c>
      <c r="C33" s="164">
        <v>16000</v>
      </c>
      <c r="D33" s="178"/>
      <c r="E33" s="164">
        <v>16000</v>
      </c>
      <c r="F33" s="192" t="s">
        <v>189</v>
      </c>
      <c r="G33" s="180">
        <f t="shared" si="2"/>
        <v>0</v>
      </c>
      <c r="I33" s="160">
        <v>16000</v>
      </c>
      <c r="K33" s="160">
        <v>20000</v>
      </c>
    </row>
    <row r="34" spans="1:11" ht="20.100000000000001" customHeight="1" x14ac:dyDescent="0.3">
      <c r="B34" s="176" t="s">
        <v>202</v>
      </c>
      <c r="C34" s="164">
        <v>82545</v>
      </c>
      <c r="D34" s="178"/>
      <c r="E34" s="164">
        <v>17750</v>
      </c>
      <c r="F34" s="192" t="s">
        <v>189</v>
      </c>
      <c r="G34" s="180">
        <f t="shared" si="2"/>
        <v>64795</v>
      </c>
      <c r="I34" s="160">
        <v>17750</v>
      </c>
      <c r="K34" s="160">
        <v>25000</v>
      </c>
    </row>
    <row r="35" spans="1:11" ht="20.100000000000001" customHeight="1" thickBot="1" x14ac:dyDescent="0.35">
      <c r="A35" s="193"/>
      <c r="B35" s="194" t="s">
        <v>203</v>
      </c>
      <c r="C35" s="195"/>
      <c r="D35" s="196"/>
      <c r="E35" s="195"/>
      <c r="F35" s="197" t="s">
        <v>189</v>
      </c>
      <c r="G35" s="180" t="str">
        <f t="shared" si="2"/>
        <v/>
      </c>
    </row>
    <row r="36" spans="1:11" ht="20.100000000000001" customHeight="1" thickBot="1" x14ac:dyDescent="0.35">
      <c r="A36" s="184" t="s">
        <v>204</v>
      </c>
      <c r="G36" s="198">
        <f>IF(SUM(G21:G29)-SUM(G32:G35)=0,"",SUM(G21:G29)-SUM(G32:G35))</f>
        <v>5233167</v>
      </c>
    </row>
    <row r="37" spans="1:11" ht="6" customHeight="1" x14ac:dyDescent="0.3">
      <c r="A37" s="184"/>
      <c r="G37" s="186"/>
    </row>
    <row r="38" spans="1:11" ht="12" customHeight="1" x14ac:dyDescent="0.3">
      <c r="A38" s="161"/>
      <c r="B38" s="162"/>
      <c r="C38" s="162"/>
      <c r="D38" s="162"/>
      <c r="E38" s="162"/>
      <c r="F38" s="162"/>
      <c r="G38" s="187"/>
    </row>
    <row r="39" spans="1:11" ht="20.100000000000001" customHeight="1" thickBot="1" x14ac:dyDescent="0.35">
      <c r="A39" s="163" t="s">
        <v>205</v>
      </c>
      <c r="G39" s="199">
        <f>IF(G16="",IF(G36="","",-G36),IF(G36="",G16,G16-G36))</f>
        <v>363010</v>
      </c>
    </row>
    <row r="40" spans="1:11" ht="13.5" customHeight="1" thickTop="1" x14ac:dyDescent="0.3">
      <c r="G40" s="183"/>
    </row>
    <row r="41" spans="1:11" ht="16.2" thickBot="1" x14ac:dyDescent="0.35">
      <c r="A41" s="163" t="s">
        <v>206</v>
      </c>
      <c r="G41" s="199">
        <f>IF(SUM(G3:G9)-G19=0,"",SUM(G3:G9)-G19)</f>
        <v>64380</v>
      </c>
      <c r="H41"/>
    </row>
    <row r="42" spans="1:11" ht="12.75" customHeight="1" thickTop="1" x14ac:dyDescent="0.3">
      <c r="G42" s="183"/>
      <c r="H42"/>
    </row>
    <row r="43" spans="1:11" x14ac:dyDescent="0.3">
      <c r="A43"/>
      <c r="B43" s="163" t="s">
        <v>207</v>
      </c>
      <c r="G43" s="200">
        <f>IF(OR(G39="",G41=""),"",G39-G41)</f>
        <v>298630</v>
      </c>
      <c r="H43"/>
    </row>
    <row r="44" spans="1:11" ht="4.5" customHeight="1" x14ac:dyDescent="0.3">
      <c r="A44"/>
      <c r="B44"/>
      <c r="C44"/>
      <c r="D44"/>
      <c r="E44"/>
      <c r="F44"/>
      <c r="G44"/>
      <c r="H44"/>
    </row>
    <row r="45" spans="1:11" x14ac:dyDescent="0.3">
      <c r="A45"/>
      <c r="B45" s="160" t="s">
        <v>208</v>
      </c>
      <c r="C45"/>
      <c r="D45"/>
      <c r="E45"/>
      <c r="F45"/>
      <c r="G45"/>
      <c r="H45"/>
    </row>
    <row r="46" spans="1:11" x14ac:dyDescent="0.3">
      <c r="B46" s="176" t="s">
        <v>209</v>
      </c>
    </row>
    <row r="48" spans="1:11" ht="30.45" customHeight="1" x14ac:dyDescent="0.3">
      <c r="B48" s="346" t="s">
        <v>210</v>
      </c>
      <c r="C48" s="346"/>
      <c r="D48" s="346"/>
      <c r="E48" s="346"/>
      <c r="F48" s="346"/>
      <c r="G48" s="346"/>
    </row>
  </sheetData>
  <mergeCells count="2">
    <mergeCell ref="A1:G1"/>
    <mergeCell ref="B48:G48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Cow Calendar</vt:lpstr>
      <vt:lpstr>Heifer Numbers</vt:lpstr>
      <vt:lpstr>Monthly Cash Flow - Blank</vt:lpstr>
      <vt:lpstr>Agritourism Budget</vt:lpstr>
      <vt:lpstr>Cow-Calf Budget</vt:lpstr>
      <vt:lpstr>Cash to Accrual</vt:lpstr>
      <vt:lpstr>'Cow-Calf Budget'!Print_Area</vt:lpstr>
      <vt:lpstr>'Monthly Cash Flow - Blank'!Print_Area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Alex</dc:creator>
  <cp:lastModifiedBy>Rothwell, Marie</cp:lastModifiedBy>
  <dcterms:created xsi:type="dcterms:W3CDTF">2021-08-16T20:08:26Z</dcterms:created>
  <dcterms:modified xsi:type="dcterms:W3CDTF">2024-02-01T19:13:24Z</dcterms:modified>
</cp:coreProperties>
</file>