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ivotTables/pivotTable1.xml" ContentType="application/vnd.openxmlformats-officedocument.spreadsheetml.pivotTable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white\Desktop\Presentations\"/>
    </mc:Choice>
  </mc:AlternateContent>
  <xr:revisionPtr revIDLastSave="0" documentId="13_ncr:1_{5A15DD0A-5BF1-43D1-928C-A93BF25DEBB1}" xr6:coauthVersionLast="36" xr6:coauthVersionMax="36" xr10:uidLastSave="{00000000-0000-0000-0000-000000000000}"/>
  <bookViews>
    <workbookView xWindow="0" yWindow="0" windowWidth="19200" windowHeight="6850" activeTab="6" xr2:uid="{62DDCE8D-61B6-4F99-9C1F-FD2E47580991}"/>
  </bookViews>
  <sheets>
    <sheet name="Cow Calendar" sheetId="13" r:id="rId1"/>
    <sheet name="Heifer Numbers" sheetId="14" state="hidden" r:id="rId2"/>
    <sheet name="Bee Budget" sheetId="10" r:id="rId3"/>
    <sheet name="Soybean Budget" sheetId="4" r:id="rId4"/>
    <sheet name="Monthly Budget Builder" sheetId="9" r:id="rId5"/>
    <sheet name="Quarterly Cash Flow - Example" sheetId="15" r:id="rId6"/>
    <sheet name="Ratio Calculator" sheetId="6" r:id="rId7"/>
    <sheet name="From Scratch" sheetId="18" r:id="rId8"/>
    <sheet name="From Scratch 2" sheetId="17" r:id="rId9"/>
    <sheet name="From Scratch 3" sheetId="16" r:id="rId10"/>
    <sheet name="From Scratch 4" sheetId="20" r:id="rId11"/>
    <sheet name="From Scratch 5" sheetId="21" r:id="rId12"/>
    <sheet name="From Scratch 6" sheetId="22" r:id="rId13"/>
    <sheet name="Herd Records" sheetId="19" r:id="rId14"/>
    <sheet name="Monthly Cash Flow - Blank" sheetId="8" state="hidden" r:id="rId15"/>
    <sheet name="Agritourism Budget" sheetId="11" state="hidden" r:id="rId16"/>
    <sheet name="Cow-Calf Budget" sheetId="3" state="hidden" r:id="rId17"/>
    <sheet name="Cash to Accrual" sheetId="7" state="hidden" r:id="rId18"/>
  </sheets>
  <definedNames>
    <definedName name="_xlnm.Print_Area" localSheetId="16">'Cow-Calf Budget'!$A$1:$J$122</definedName>
    <definedName name="_xlnm.Print_Area" localSheetId="4">'Monthly Budget Builder'!$A$1:$J$94</definedName>
    <definedName name="_xlnm.Print_Area" localSheetId="14">'Monthly Cash Flow - Blank'!$A$1:$AB$69</definedName>
    <definedName name="_xlnm.Print_Area" localSheetId="5">'Quarterly Cash Flow - Example'!$A$1:$L$69</definedName>
    <definedName name="_xlnm.Print_Area" localSheetId="3">'Soybean Budget'!$A$1:$H$139</definedName>
  </definedNames>
  <calcPr calcId="191029"/>
  <pivotCaches>
    <pivotCache cacheId="16" r:id="rId1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9" l="1"/>
  <c r="Q18" i="19"/>
  <c r="O17" i="19"/>
  <c r="P17" i="19"/>
  <c r="Q17" i="19"/>
  <c r="N17" i="19"/>
  <c r="Q16" i="19"/>
  <c r="P16" i="19"/>
  <c r="O16" i="19"/>
  <c r="N16" i="19"/>
  <c r="O15" i="19"/>
  <c r="P15" i="19"/>
  <c r="Q15" i="19"/>
  <c r="N15" i="19"/>
  <c r="O8" i="19"/>
  <c r="N8" i="19"/>
  <c r="H20" i="19"/>
  <c r="P8" i="19" s="1"/>
  <c r="E20" i="19"/>
  <c r="P7" i="19" s="1"/>
  <c r="O7" i="19"/>
  <c r="N7" i="19"/>
  <c r="P6" i="19"/>
  <c r="O6" i="19"/>
  <c r="N6" i="19"/>
  <c r="E21" i="19"/>
  <c r="H21" i="19"/>
  <c r="E22" i="19"/>
  <c r="H22" i="19"/>
  <c r="C22" i="19"/>
  <c r="C24" i="19" s="1"/>
  <c r="C21" i="19"/>
  <c r="I7" i="19"/>
  <c r="J7" i="19" s="1"/>
  <c r="I8" i="19"/>
  <c r="J8" i="19" s="1"/>
  <c r="I9" i="19"/>
  <c r="J9" i="19" s="1"/>
  <c r="I10" i="19"/>
  <c r="I11" i="19"/>
  <c r="J11" i="19" s="1"/>
  <c r="I12" i="19"/>
  <c r="J12" i="19" s="1"/>
  <c r="I13" i="19"/>
  <c r="J13" i="19" s="1"/>
  <c r="I14" i="19"/>
  <c r="J14" i="19" s="1"/>
  <c r="I15" i="19"/>
  <c r="J15" i="19" s="1"/>
  <c r="I16" i="19"/>
  <c r="J16" i="19" s="1"/>
  <c r="I17" i="19"/>
  <c r="J17" i="19" s="1"/>
  <c r="I18" i="19"/>
  <c r="J18" i="19" s="1"/>
  <c r="I19" i="19"/>
  <c r="J19" i="19" s="1"/>
  <c r="I6" i="19"/>
  <c r="J6" i="19" s="1"/>
  <c r="J10" i="19"/>
  <c r="N19" i="19" s="1"/>
  <c r="F17" i="22"/>
  <c r="F16" i="22"/>
  <c r="F15" i="22"/>
  <c r="F14" i="22"/>
  <c r="F13" i="22"/>
  <c r="F9" i="22"/>
  <c r="F8" i="22"/>
  <c r="F7" i="22"/>
  <c r="F10" i="22" s="1"/>
  <c r="F17" i="20"/>
  <c r="F17" i="21"/>
  <c r="F16" i="21"/>
  <c r="F15" i="21"/>
  <c r="F14" i="21"/>
  <c r="F13" i="21"/>
  <c r="D18" i="21" s="1"/>
  <c r="F18" i="21" s="1"/>
  <c r="F9" i="21"/>
  <c r="F8" i="21"/>
  <c r="F7" i="21"/>
  <c r="F10" i="21" s="1"/>
  <c r="F16" i="20"/>
  <c r="F15" i="20"/>
  <c r="F14" i="20"/>
  <c r="F13" i="20"/>
  <c r="F9" i="20"/>
  <c r="F8" i="20"/>
  <c r="F7" i="20"/>
  <c r="N18" i="19" l="1"/>
  <c r="J20" i="19"/>
  <c r="P10" i="19" s="1"/>
  <c r="O10" i="19"/>
  <c r="P18" i="19"/>
  <c r="P19" i="19"/>
  <c r="O18" i="19"/>
  <c r="O19" i="19"/>
  <c r="I20" i="19"/>
  <c r="P9" i="19" s="1"/>
  <c r="J21" i="19"/>
  <c r="I22" i="19"/>
  <c r="I21" i="19"/>
  <c r="N10" i="19"/>
  <c r="N9" i="19"/>
  <c r="J22" i="19"/>
  <c r="O9" i="19"/>
  <c r="D18" i="22"/>
  <c r="F18" i="22" s="1"/>
  <c r="F19" i="22" s="1"/>
  <c r="F21" i="22" s="1"/>
  <c r="H52" i="15"/>
  <c r="J52" i="15" s="1"/>
  <c r="F52" i="15"/>
  <c r="L48" i="15"/>
  <c r="J45" i="15"/>
  <c r="H45" i="15"/>
  <c r="F45" i="15"/>
  <c r="L43" i="15"/>
  <c r="L42" i="15"/>
  <c r="D41" i="15"/>
  <c r="L41" i="15" s="1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F13" i="15"/>
  <c r="D13" i="15"/>
  <c r="L11" i="15"/>
  <c r="L10" i="15"/>
  <c r="L9" i="15"/>
  <c r="L8" i="15"/>
  <c r="L7" i="15"/>
  <c r="H13" i="15"/>
  <c r="C28" i="22" l="1"/>
  <c r="C26" i="22"/>
  <c r="C24" i="22"/>
  <c r="F46" i="15"/>
  <c r="H46" i="15"/>
  <c r="L45" i="15"/>
  <c r="D45" i="15"/>
  <c r="D46" i="15" s="1"/>
  <c r="D50" i="15" s="1"/>
  <c r="J13" i="15"/>
  <c r="J46" i="15" s="1"/>
  <c r="D56" i="15" l="1"/>
  <c r="D54" i="15"/>
  <c r="L6" i="15"/>
  <c r="L13" i="15" s="1"/>
  <c r="L46" i="15" s="1"/>
  <c r="L50" i="15" s="1"/>
  <c r="D58" i="15" l="1"/>
  <c r="D60" i="15" l="1"/>
  <c r="D62" i="15" s="1"/>
  <c r="D64" i="15" l="1"/>
  <c r="D66" i="15" s="1"/>
  <c r="D68" i="15"/>
  <c r="F48" i="15" s="1"/>
  <c r="F50" i="15" s="1"/>
  <c r="F54" i="15" l="1"/>
  <c r="F56" i="15"/>
  <c r="F58" i="15" s="1"/>
  <c r="F60" i="15" l="1"/>
  <c r="F62" i="15" s="1"/>
  <c r="F64" i="15" s="1"/>
  <c r="F66" i="15" s="1"/>
  <c r="F68" i="15" l="1"/>
  <c r="H48" i="15" s="1"/>
  <c r="H50" i="15" s="1"/>
  <c r="H54" i="15" l="1"/>
  <c r="H56" i="15"/>
  <c r="H58" i="15" l="1"/>
  <c r="H60" i="15" l="1"/>
  <c r="H62" i="15" s="1"/>
  <c r="H64" i="15" l="1"/>
  <c r="H66" i="15" s="1"/>
  <c r="H68" i="15" s="1"/>
  <c r="J48" i="15" s="1"/>
  <c r="J50" i="15" s="1"/>
  <c r="J54" i="15" l="1"/>
  <c r="J56" i="15"/>
  <c r="L56" i="15" s="1"/>
  <c r="J58" i="15" l="1"/>
  <c r="J60" i="15" l="1"/>
  <c r="J62" i="15" l="1"/>
  <c r="L62" i="15" l="1"/>
  <c r="J64" i="15"/>
  <c r="J66" i="15" s="1"/>
  <c r="L60" i="15"/>
  <c r="L66" i="15" l="1"/>
  <c r="L68" i="15" s="1"/>
  <c r="L58" i="15"/>
  <c r="J68" i="15"/>
  <c r="D8" i="9" l="1"/>
  <c r="D11" i="9" s="1"/>
  <c r="D10" i="9"/>
  <c r="F31" i="14"/>
  <c r="F32" i="14" s="1"/>
  <c r="F33" i="14" s="1"/>
  <c r="F34" i="14" s="1"/>
  <c r="F26" i="14" s="1"/>
  <c r="D31" i="14"/>
  <c r="D32" i="14" s="1"/>
  <c r="D33" i="14" s="1"/>
  <c r="D34" i="14" s="1"/>
  <c r="D26" i="14" s="1"/>
  <c r="F23" i="14"/>
  <c r="F24" i="14" s="1"/>
  <c r="F17" i="14" s="1"/>
  <c r="D23" i="14"/>
  <c r="D24" i="14" s="1"/>
  <c r="D17" i="14" s="1"/>
  <c r="F22" i="14"/>
  <c r="D22" i="14"/>
  <c r="F13" i="14"/>
  <c r="D13" i="14"/>
  <c r="C16" i="13"/>
  <c r="C13" i="13"/>
  <c r="C14" i="13" s="1"/>
  <c r="C18" i="13" s="1"/>
  <c r="G17" i="14" l="1"/>
  <c r="F18" i="14"/>
  <c r="G18" i="14" s="1"/>
  <c r="D27" i="14"/>
  <c r="E27" i="14" s="1"/>
  <c r="E26" i="14"/>
  <c r="E17" i="14"/>
  <c r="D18" i="14"/>
  <c r="E18" i="14" s="1"/>
  <c r="G26" i="14"/>
  <c r="F27" i="14"/>
  <c r="G27" i="14" s="1"/>
  <c r="G10" i="4" l="1"/>
  <c r="E7" i="11"/>
  <c r="E11" i="11"/>
  <c r="E12" i="11"/>
  <c r="E13" i="11"/>
  <c r="E14" i="11"/>
  <c r="E6" i="11"/>
  <c r="E8" i="11" s="1"/>
  <c r="G29" i="10"/>
  <c r="G28" i="10"/>
  <c r="C11" i="10"/>
  <c r="G11" i="10" s="1"/>
  <c r="G10" i="10"/>
  <c r="C10" i="10"/>
  <c r="C12" i="10" s="1"/>
  <c r="G12" i="10" s="1"/>
  <c r="G7" i="10"/>
  <c r="G6" i="10"/>
  <c r="G5" i="10"/>
  <c r="G8" i="10" s="1"/>
  <c r="E15" i="11" l="1"/>
  <c r="E17" i="11" s="1"/>
  <c r="G14" i="10"/>
  <c r="G16" i="10"/>
  <c r="E31" i="10" l="1"/>
  <c r="G31" i="10" s="1"/>
  <c r="G32" i="10" s="1"/>
  <c r="G35" i="10" s="1"/>
  <c r="G36" i="10" l="1"/>
  <c r="G38" i="10" s="1"/>
  <c r="H38" i="10" s="1"/>
  <c r="G47" i="10"/>
  <c r="G33" i="10"/>
  <c r="G44" i="10" l="1"/>
  <c r="G41" i="10"/>
  <c r="F58" i="9" l="1"/>
  <c r="F60" i="9" s="1"/>
  <c r="D47" i="9"/>
  <c r="R32" i="9"/>
  <c r="R44" i="9" s="1"/>
  <c r="R57" i="9" s="1"/>
  <c r="R69" i="9" s="1"/>
  <c r="R81" i="9" s="1"/>
  <c r="R96" i="9" s="1"/>
  <c r="R108" i="9" s="1"/>
  <c r="R120" i="9" s="1"/>
  <c r="R132" i="9" s="1"/>
  <c r="R144" i="9" s="1"/>
  <c r="R156" i="9" s="1"/>
  <c r="R168" i="9" s="1"/>
  <c r="R180" i="9" s="1"/>
  <c r="R192" i="9" s="1"/>
  <c r="R204" i="9" s="1"/>
  <c r="R216" i="9" s="1"/>
  <c r="R228" i="9" s="1"/>
  <c r="R240" i="9" s="1"/>
  <c r="R252" i="9" s="1"/>
  <c r="R264" i="9" s="1"/>
  <c r="R276" i="9" s="1"/>
  <c r="R288" i="9" s="1"/>
  <c r="R300" i="9" s="1"/>
  <c r="R312" i="9" s="1"/>
  <c r="R324" i="9" s="1"/>
  <c r="R336" i="9" s="1"/>
  <c r="R348" i="9" s="1"/>
  <c r="R360" i="9" s="1"/>
  <c r="R372" i="9" s="1"/>
  <c r="R384" i="9" s="1"/>
  <c r="R396" i="9" s="1"/>
  <c r="R408" i="9" s="1"/>
  <c r="R420" i="9" s="1"/>
  <c r="R432" i="9" s="1"/>
  <c r="R444" i="9" s="1"/>
  <c r="R456" i="9" s="1"/>
  <c r="R468" i="9" s="1"/>
  <c r="R480" i="9" s="1"/>
  <c r="R492" i="9" s="1"/>
  <c r="R21" i="9"/>
  <c r="R22" i="9" s="1"/>
  <c r="T20" i="9"/>
  <c r="T21" i="9" s="1"/>
  <c r="T22" i="9" s="1"/>
  <c r="T19" i="9"/>
  <c r="D18" i="9"/>
  <c r="D12" i="9"/>
  <c r="F88" i="9" s="1"/>
  <c r="H52" i="8"/>
  <c r="F52" i="8"/>
  <c r="AB48" i="8"/>
  <c r="Z46" i="8"/>
  <c r="R46" i="8"/>
  <c r="J46" i="8"/>
  <c r="Z45" i="8"/>
  <c r="X45" i="8"/>
  <c r="V45" i="8"/>
  <c r="T45" i="8"/>
  <c r="R45" i="8"/>
  <c r="P45" i="8"/>
  <c r="N45" i="8"/>
  <c r="L45" i="8"/>
  <c r="J45" i="8"/>
  <c r="H45" i="8"/>
  <c r="F45" i="8"/>
  <c r="D45" i="8"/>
  <c r="AB43" i="8"/>
  <c r="AB42" i="8"/>
  <c r="AB41" i="8"/>
  <c r="AB40" i="8"/>
  <c r="AB39" i="8"/>
  <c r="AB38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B18" i="8"/>
  <c r="AB17" i="8"/>
  <c r="AB16" i="8"/>
  <c r="AB45" i="8" s="1"/>
  <c r="Z13" i="8"/>
  <c r="X13" i="8"/>
  <c r="X46" i="8" s="1"/>
  <c r="V13" i="8"/>
  <c r="V46" i="8" s="1"/>
  <c r="T13" i="8"/>
  <c r="T46" i="8" s="1"/>
  <c r="R13" i="8"/>
  <c r="P13" i="8"/>
  <c r="P46" i="8" s="1"/>
  <c r="N13" i="8"/>
  <c r="N46" i="8" s="1"/>
  <c r="L13" i="8"/>
  <c r="L46" i="8" s="1"/>
  <c r="J13" i="8"/>
  <c r="H13" i="8"/>
  <c r="H46" i="8" s="1"/>
  <c r="F13" i="8"/>
  <c r="F46" i="8" s="1"/>
  <c r="D13" i="8"/>
  <c r="D46" i="8" s="1"/>
  <c r="D50" i="8" s="1"/>
  <c r="AB11" i="8"/>
  <c r="AB10" i="8"/>
  <c r="AB9" i="8"/>
  <c r="AB8" i="8"/>
  <c r="AB7" i="8"/>
  <c r="AB6" i="8"/>
  <c r="AB13" i="8" s="1"/>
  <c r="AB46" i="8" s="1"/>
  <c r="AB50" i="8" s="1"/>
  <c r="G35" i="7"/>
  <c r="G34" i="7"/>
  <c r="G33" i="7"/>
  <c r="G32" i="7"/>
  <c r="G29" i="7"/>
  <c r="G28" i="7"/>
  <c r="G27" i="7"/>
  <c r="G26" i="7"/>
  <c r="G25" i="7"/>
  <c r="G21" i="7"/>
  <c r="G36" i="7" s="1"/>
  <c r="G14" i="7"/>
  <c r="G13" i="7"/>
  <c r="G12" i="7"/>
  <c r="G6" i="7"/>
  <c r="G5" i="7"/>
  <c r="G41" i="7" s="1"/>
  <c r="H17" i="6"/>
  <c r="G17" i="6"/>
  <c r="H16" i="6"/>
  <c r="G16" i="6"/>
  <c r="C16" i="6"/>
  <c r="H14" i="6" s="1"/>
  <c r="B16" i="6"/>
  <c r="G14" i="6" s="1"/>
  <c r="H9" i="6"/>
  <c r="G9" i="6"/>
  <c r="C9" i="6"/>
  <c r="B9" i="6"/>
  <c r="H7" i="6"/>
  <c r="G7" i="6"/>
  <c r="H6" i="6"/>
  <c r="G6" i="6"/>
  <c r="D48" i="9" l="1"/>
  <c r="D49" i="9" s="1"/>
  <c r="F89" i="9" s="1"/>
  <c r="F90" i="9" s="1"/>
  <c r="F93" i="9" s="1"/>
  <c r="D13" i="9"/>
  <c r="R34" i="9"/>
  <c r="R46" i="9" s="1"/>
  <c r="R59" i="9" s="1"/>
  <c r="R71" i="9" s="1"/>
  <c r="R83" i="9" s="1"/>
  <c r="R98" i="9" s="1"/>
  <c r="R110" i="9" s="1"/>
  <c r="R122" i="9" s="1"/>
  <c r="R134" i="9" s="1"/>
  <c r="R146" i="9" s="1"/>
  <c r="R158" i="9" s="1"/>
  <c r="R170" i="9" s="1"/>
  <c r="R182" i="9" s="1"/>
  <c r="R194" i="9" s="1"/>
  <c r="R206" i="9" s="1"/>
  <c r="R218" i="9" s="1"/>
  <c r="R230" i="9" s="1"/>
  <c r="R242" i="9" s="1"/>
  <c r="R254" i="9" s="1"/>
  <c r="R266" i="9" s="1"/>
  <c r="R278" i="9" s="1"/>
  <c r="R290" i="9" s="1"/>
  <c r="R302" i="9" s="1"/>
  <c r="R314" i="9" s="1"/>
  <c r="R326" i="9" s="1"/>
  <c r="R338" i="9" s="1"/>
  <c r="R350" i="9" s="1"/>
  <c r="R362" i="9" s="1"/>
  <c r="R374" i="9" s="1"/>
  <c r="R386" i="9" s="1"/>
  <c r="R398" i="9" s="1"/>
  <c r="R410" i="9" s="1"/>
  <c r="R422" i="9" s="1"/>
  <c r="R434" i="9" s="1"/>
  <c r="R446" i="9" s="1"/>
  <c r="R458" i="9" s="1"/>
  <c r="R470" i="9" s="1"/>
  <c r="R482" i="9" s="1"/>
  <c r="R494" i="9" s="1"/>
  <c r="R23" i="9"/>
  <c r="R33" i="9"/>
  <c r="R45" i="9" s="1"/>
  <c r="R58" i="9" s="1"/>
  <c r="R70" i="9" s="1"/>
  <c r="R82" i="9" s="1"/>
  <c r="R97" i="9" s="1"/>
  <c r="R109" i="9" s="1"/>
  <c r="R121" i="9" s="1"/>
  <c r="R133" i="9" s="1"/>
  <c r="R145" i="9" s="1"/>
  <c r="R157" i="9" s="1"/>
  <c r="R169" i="9" s="1"/>
  <c r="R181" i="9" s="1"/>
  <c r="R193" i="9" s="1"/>
  <c r="R205" i="9" s="1"/>
  <c r="R217" i="9" s="1"/>
  <c r="R229" i="9" s="1"/>
  <c r="R241" i="9" s="1"/>
  <c r="R253" i="9" s="1"/>
  <c r="R265" i="9" s="1"/>
  <c r="R277" i="9" s="1"/>
  <c r="R289" i="9" s="1"/>
  <c r="R301" i="9" s="1"/>
  <c r="R313" i="9" s="1"/>
  <c r="R325" i="9" s="1"/>
  <c r="R337" i="9" s="1"/>
  <c r="R349" i="9" s="1"/>
  <c r="R361" i="9" s="1"/>
  <c r="R373" i="9" s="1"/>
  <c r="R385" i="9" s="1"/>
  <c r="R397" i="9" s="1"/>
  <c r="R409" i="9" s="1"/>
  <c r="R421" i="9" s="1"/>
  <c r="R433" i="9" s="1"/>
  <c r="R445" i="9" s="1"/>
  <c r="R457" i="9" s="1"/>
  <c r="R469" i="9" s="1"/>
  <c r="R481" i="9" s="1"/>
  <c r="R493" i="9" s="1"/>
  <c r="D56" i="8"/>
  <c r="D54" i="8"/>
  <c r="J52" i="8"/>
  <c r="G16" i="7"/>
  <c r="G39" i="7" s="1"/>
  <c r="G43" i="7" s="1"/>
  <c r="B17" i="6"/>
  <c r="C17" i="6"/>
  <c r="D50" i="9" l="1"/>
  <c r="R24" i="9"/>
  <c r="R35" i="9"/>
  <c r="R47" i="9" s="1"/>
  <c r="R60" i="9" s="1"/>
  <c r="R72" i="9" s="1"/>
  <c r="R84" i="9" s="1"/>
  <c r="R99" i="9" s="1"/>
  <c r="R111" i="9" s="1"/>
  <c r="R123" i="9" s="1"/>
  <c r="R135" i="9" s="1"/>
  <c r="R147" i="9" s="1"/>
  <c r="R159" i="9" s="1"/>
  <c r="R171" i="9" s="1"/>
  <c r="R183" i="9" s="1"/>
  <c r="R195" i="9" s="1"/>
  <c r="R207" i="9" s="1"/>
  <c r="R219" i="9" s="1"/>
  <c r="R231" i="9" s="1"/>
  <c r="R243" i="9" s="1"/>
  <c r="R255" i="9" s="1"/>
  <c r="R267" i="9" s="1"/>
  <c r="R279" i="9" s="1"/>
  <c r="R291" i="9" s="1"/>
  <c r="R303" i="9" s="1"/>
  <c r="R315" i="9" s="1"/>
  <c r="R327" i="9" s="1"/>
  <c r="R339" i="9" s="1"/>
  <c r="R351" i="9" s="1"/>
  <c r="R363" i="9" s="1"/>
  <c r="R375" i="9" s="1"/>
  <c r="R387" i="9" s="1"/>
  <c r="R399" i="9" s="1"/>
  <c r="R411" i="9" s="1"/>
  <c r="R423" i="9" s="1"/>
  <c r="R435" i="9" s="1"/>
  <c r="R447" i="9" s="1"/>
  <c r="R459" i="9" s="1"/>
  <c r="R471" i="9" s="1"/>
  <c r="R483" i="9" s="1"/>
  <c r="R495" i="9" s="1"/>
  <c r="T23" i="9"/>
  <c r="T24" i="9" s="1"/>
  <c r="L52" i="8"/>
  <c r="D58" i="8"/>
  <c r="H11" i="6"/>
  <c r="H12" i="6"/>
  <c r="G11" i="6"/>
  <c r="G12" i="6"/>
  <c r="R36" i="9" l="1"/>
  <c r="R48" i="9" s="1"/>
  <c r="R61" i="9" s="1"/>
  <c r="R73" i="9" s="1"/>
  <c r="R85" i="9" s="1"/>
  <c r="R100" i="9" s="1"/>
  <c r="R112" i="9" s="1"/>
  <c r="R124" i="9" s="1"/>
  <c r="R136" i="9" s="1"/>
  <c r="R148" i="9" s="1"/>
  <c r="R160" i="9" s="1"/>
  <c r="R172" i="9" s="1"/>
  <c r="R184" i="9" s="1"/>
  <c r="R196" i="9" s="1"/>
  <c r="R208" i="9" s="1"/>
  <c r="R220" i="9" s="1"/>
  <c r="R232" i="9" s="1"/>
  <c r="R244" i="9" s="1"/>
  <c r="R256" i="9" s="1"/>
  <c r="R268" i="9" s="1"/>
  <c r="R280" i="9" s="1"/>
  <c r="R292" i="9" s="1"/>
  <c r="R304" i="9" s="1"/>
  <c r="R316" i="9" s="1"/>
  <c r="R328" i="9" s="1"/>
  <c r="R340" i="9" s="1"/>
  <c r="R352" i="9" s="1"/>
  <c r="R364" i="9" s="1"/>
  <c r="R376" i="9" s="1"/>
  <c r="R388" i="9" s="1"/>
  <c r="R400" i="9" s="1"/>
  <c r="R412" i="9" s="1"/>
  <c r="R424" i="9" s="1"/>
  <c r="R436" i="9" s="1"/>
  <c r="R448" i="9" s="1"/>
  <c r="R460" i="9" s="1"/>
  <c r="R472" i="9" s="1"/>
  <c r="R484" i="9" s="1"/>
  <c r="R496" i="9" s="1"/>
  <c r="R25" i="9"/>
  <c r="D60" i="8"/>
  <c r="D62" i="8" s="1"/>
  <c r="N52" i="8"/>
  <c r="R26" i="9" l="1"/>
  <c r="R37" i="9"/>
  <c r="R49" i="9" s="1"/>
  <c r="R62" i="9" s="1"/>
  <c r="R74" i="9" s="1"/>
  <c r="R86" i="9" s="1"/>
  <c r="R101" i="9" s="1"/>
  <c r="R113" i="9" s="1"/>
  <c r="R125" i="9" s="1"/>
  <c r="R137" i="9" s="1"/>
  <c r="R149" i="9" s="1"/>
  <c r="R161" i="9" s="1"/>
  <c r="R173" i="9" s="1"/>
  <c r="R185" i="9" s="1"/>
  <c r="R197" i="9" s="1"/>
  <c r="R209" i="9" s="1"/>
  <c r="R221" i="9" s="1"/>
  <c r="R233" i="9" s="1"/>
  <c r="R245" i="9" s="1"/>
  <c r="R257" i="9" s="1"/>
  <c r="R269" i="9" s="1"/>
  <c r="R281" i="9" s="1"/>
  <c r="R293" i="9" s="1"/>
  <c r="R305" i="9" s="1"/>
  <c r="R317" i="9" s="1"/>
  <c r="R329" i="9" s="1"/>
  <c r="R341" i="9" s="1"/>
  <c r="R353" i="9" s="1"/>
  <c r="R365" i="9" s="1"/>
  <c r="R377" i="9" s="1"/>
  <c r="R389" i="9" s="1"/>
  <c r="R401" i="9" s="1"/>
  <c r="R413" i="9" s="1"/>
  <c r="R425" i="9" s="1"/>
  <c r="R437" i="9" s="1"/>
  <c r="R449" i="9" s="1"/>
  <c r="R461" i="9" s="1"/>
  <c r="R473" i="9" s="1"/>
  <c r="R485" i="9" s="1"/>
  <c r="R497" i="9" s="1"/>
  <c r="T25" i="9"/>
  <c r="T26" i="9" s="1"/>
  <c r="P52" i="8"/>
  <c r="D68" i="8"/>
  <c r="F48" i="8" s="1"/>
  <c r="F50" i="8" s="1"/>
  <c r="D64" i="8"/>
  <c r="D66" i="8" s="1"/>
  <c r="R38" i="9" l="1"/>
  <c r="R50" i="9" s="1"/>
  <c r="R63" i="9" s="1"/>
  <c r="R75" i="9" s="1"/>
  <c r="R87" i="9" s="1"/>
  <c r="R102" i="9" s="1"/>
  <c r="R114" i="9" s="1"/>
  <c r="R126" i="9" s="1"/>
  <c r="R138" i="9" s="1"/>
  <c r="R150" i="9" s="1"/>
  <c r="R162" i="9" s="1"/>
  <c r="R174" i="9" s="1"/>
  <c r="R186" i="9" s="1"/>
  <c r="R198" i="9" s="1"/>
  <c r="R210" i="9" s="1"/>
  <c r="R222" i="9" s="1"/>
  <c r="R234" i="9" s="1"/>
  <c r="R246" i="9" s="1"/>
  <c r="R258" i="9" s="1"/>
  <c r="R270" i="9" s="1"/>
  <c r="R282" i="9" s="1"/>
  <c r="R294" i="9" s="1"/>
  <c r="R306" i="9" s="1"/>
  <c r="R318" i="9" s="1"/>
  <c r="R330" i="9" s="1"/>
  <c r="R342" i="9" s="1"/>
  <c r="R354" i="9" s="1"/>
  <c r="R366" i="9" s="1"/>
  <c r="R378" i="9" s="1"/>
  <c r="R390" i="9" s="1"/>
  <c r="R402" i="9" s="1"/>
  <c r="R414" i="9" s="1"/>
  <c r="R426" i="9" s="1"/>
  <c r="R438" i="9" s="1"/>
  <c r="R450" i="9" s="1"/>
  <c r="R462" i="9" s="1"/>
  <c r="R474" i="9" s="1"/>
  <c r="R486" i="9" s="1"/>
  <c r="R498" i="9" s="1"/>
  <c r="R27" i="9"/>
  <c r="F54" i="8"/>
  <c r="F56" i="8"/>
  <c r="R52" i="8"/>
  <c r="F58" i="8"/>
  <c r="R28" i="9" l="1"/>
  <c r="R39" i="9"/>
  <c r="R51" i="9" s="1"/>
  <c r="R64" i="9" s="1"/>
  <c r="R76" i="9" s="1"/>
  <c r="R90" i="9" s="1"/>
  <c r="R103" i="9" s="1"/>
  <c r="R115" i="9" s="1"/>
  <c r="R127" i="9" s="1"/>
  <c r="R139" i="9" s="1"/>
  <c r="R151" i="9" s="1"/>
  <c r="R163" i="9" s="1"/>
  <c r="R175" i="9" s="1"/>
  <c r="R187" i="9" s="1"/>
  <c r="R199" i="9" s="1"/>
  <c r="R211" i="9" s="1"/>
  <c r="R223" i="9" s="1"/>
  <c r="R235" i="9" s="1"/>
  <c r="R247" i="9" s="1"/>
  <c r="R259" i="9" s="1"/>
  <c r="R271" i="9" s="1"/>
  <c r="R283" i="9" s="1"/>
  <c r="R295" i="9" s="1"/>
  <c r="R307" i="9" s="1"/>
  <c r="R319" i="9" s="1"/>
  <c r="R331" i="9" s="1"/>
  <c r="R343" i="9" s="1"/>
  <c r="R355" i="9" s="1"/>
  <c r="R367" i="9" s="1"/>
  <c r="R379" i="9" s="1"/>
  <c r="R391" i="9" s="1"/>
  <c r="R403" i="9" s="1"/>
  <c r="R415" i="9" s="1"/>
  <c r="R427" i="9" s="1"/>
  <c r="R439" i="9" s="1"/>
  <c r="R451" i="9" s="1"/>
  <c r="R463" i="9" s="1"/>
  <c r="R475" i="9" s="1"/>
  <c r="R487" i="9" s="1"/>
  <c r="R499" i="9" s="1"/>
  <c r="T27" i="9"/>
  <c r="T28" i="9" s="1"/>
  <c r="F60" i="8"/>
  <c r="T52" i="8"/>
  <c r="F62" i="8"/>
  <c r="T29" i="9" l="1"/>
  <c r="R40" i="9"/>
  <c r="R52" i="9" s="1"/>
  <c r="R65" i="9" s="1"/>
  <c r="R77" i="9" s="1"/>
  <c r="R92" i="9" s="1"/>
  <c r="R104" i="9" s="1"/>
  <c r="R116" i="9" s="1"/>
  <c r="R128" i="9" s="1"/>
  <c r="R140" i="9" s="1"/>
  <c r="R152" i="9" s="1"/>
  <c r="R164" i="9" s="1"/>
  <c r="R176" i="9" s="1"/>
  <c r="R188" i="9" s="1"/>
  <c r="R200" i="9" s="1"/>
  <c r="R212" i="9" s="1"/>
  <c r="R224" i="9" s="1"/>
  <c r="R236" i="9" s="1"/>
  <c r="R248" i="9" s="1"/>
  <c r="R260" i="9" s="1"/>
  <c r="R272" i="9" s="1"/>
  <c r="R284" i="9" s="1"/>
  <c r="R296" i="9" s="1"/>
  <c r="R308" i="9" s="1"/>
  <c r="R320" i="9" s="1"/>
  <c r="R332" i="9" s="1"/>
  <c r="R344" i="9" s="1"/>
  <c r="R356" i="9" s="1"/>
  <c r="R368" i="9" s="1"/>
  <c r="R380" i="9" s="1"/>
  <c r="R392" i="9" s="1"/>
  <c r="R404" i="9" s="1"/>
  <c r="R416" i="9" s="1"/>
  <c r="R428" i="9" s="1"/>
  <c r="R440" i="9" s="1"/>
  <c r="R452" i="9" s="1"/>
  <c r="R464" i="9" s="1"/>
  <c r="R476" i="9" s="1"/>
  <c r="R488" i="9" s="1"/>
  <c r="R500" i="9" s="1"/>
  <c r="R29" i="9"/>
  <c r="F64" i="8"/>
  <c r="F66" i="8" s="1"/>
  <c r="V52" i="8"/>
  <c r="R30" i="9" l="1"/>
  <c r="R41" i="9"/>
  <c r="R53" i="9" s="1"/>
  <c r="R66" i="9" s="1"/>
  <c r="R78" i="9" s="1"/>
  <c r="R93" i="9" s="1"/>
  <c r="R105" i="9" s="1"/>
  <c r="R117" i="9" s="1"/>
  <c r="R129" i="9" s="1"/>
  <c r="R141" i="9" s="1"/>
  <c r="R153" i="9" s="1"/>
  <c r="R165" i="9" s="1"/>
  <c r="R177" i="9" s="1"/>
  <c r="R189" i="9" s="1"/>
  <c r="R201" i="9" s="1"/>
  <c r="R213" i="9" s="1"/>
  <c r="R225" i="9" s="1"/>
  <c r="R237" i="9" s="1"/>
  <c r="R249" i="9" s="1"/>
  <c r="R261" i="9" s="1"/>
  <c r="R273" i="9" s="1"/>
  <c r="R285" i="9" s="1"/>
  <c r="R297" i="9" s="1"/>
  <c r="R309" i="9" s="1"/>
  <c r="R321" i="9" s="1"/>
  <c r="R333" i="9" s="1"/>
  <c r="R345" i="9" s="1"/>
  <c r="R357" i="9" s="1"/>
  <c r="R369" i="9" s="1"/>
  <c r="R381" i="9" s="1"/>
  <c r="R393" i="9" s="1"/>
  <c r="R405" i="9" s="1"/>
  <c r="R417" i="9" s="1"/>
  <c r="R429" i="9" s="1"/>
  <c r="R441" i="9" s="1"/>
  <c r="R453" i="9" s="1"/>
  <c r="R465" i="9" s="1"/>
  <c r="R477" i="9" s="1"/>
  <c r="R489" i="9" s="1"/>
  <c r="R501" i="9" s="1"/>
  <c r="T30" i="9"/>
  <c r="X52" i="8"/>
  <c r="F68" i="8"/>
  <c r="H48" i="8" s="1"/>
  <c r="H50" i="8" s="1"/>
  <c r="R42" i="9" l="1"/>
  <c r="R54" i="9" s="1"/>
  <c r="R67" i="9" s="1"/>
  <c r="R79" i="9" s="1"/>
  <c r="R94" i="9" s="1"/>
  <c r="R106" i="9" s="1"/>
  <c r="R118" i="9" s="1"/>
  <c r="R130" i="9" s="1"/>
  <c r="R142" i="9" s="1"/>
  <c r="R154" i="9" s="1"/>
  <c r="R166" i="9" s="1"/>
  <c r="R178" i="9" s="1"/>
  <c r="R190" i="9" s="1"/>
  <c r="R202" i="9" s="1"/>
  <c r="R214" i="9" s="1"/>
  <c r="R226" i="9" s="1"/>
  <c r="R238" i="9" s="1"/>
  <c r="R250" i="9" s="1"/>
  <c r="R262" i="9" s="1"/>
  <c r="R274" i="9" s="1"/>
  <c r="R286" i="9" s="1"/>
  <c r="R298" i="9" s="1"/>
  <c r="R310" i="9" s="1"/>
  <c r="R322" i="9" s="1"/>
  <c r="R334" i="9" s="1"/>
  <c r="R346" i="9" s="1"/>
  <c r="R358" i="9" s="1"/>
  <c r="R370" i="9" s="1"/>
  <c r="R382" i="9" s="1"/>
  <c r="R394" i="9" s="1"/>
  <c r="R406" i="9" s="1"/>
  <c r="R418" i="9" s="1"/>
  <c r="R430" i="9" s="1"/>
  <c r="R442" i="9" s="1"/>
  <c r="R454" i="9" s="1"/>
  <c r="R466" i="9" s="1"/>
  <c r="R478" i="9" s="1"/>
  <c r="R490" i="9" s="1"/>
  <c r="R502" i="9" s="1"/>
  <c r="R31" i="9"/>
  <c r="R43" i="9" s="1"/>
  <c r="R55" i="9" s="1"/>
  <c r="R68" i="9" s="1"/>
  <c r="R80" i="9" s="1"/>
  <c r="R95" i="9" s="1"/>
  <c r="R107" i="9" s="1"/>
  <c r="R119" i="9" s="1"/>
  <c r="R131" i="9" s="1"/>
  <c r="R143" i="9" s="1"/>
  <c r="R155" i="9" s="1"/>
  <c r="R167" i="9" s="1"/>
  <c r="R179" i="9" s="1"/>
  <c r="R191" i="9" s="1"/>
  <c r="R203" i="9" s="1"/>
  <c r="R215" i="9" s="1"/>
  <c r="R227" i="9" s="1"/>
  <c r="R239" i="9" s="1"/>
  <c r="R251" i="9" s="1"/>
  <c r="R263" i="9" s="1"/>
  <c r="R275" i="9" s="1"/>
  <c r="R287" i="9" s="1"/>
  <c r="R299" i="9" s="1"/>
  <c r="R311" i="9" s="1"/>
  <c r="R323" i="9" s="1"/>
  <c r="R335" i="9" s="1"/>
  <c r="R347" i="9" s="1"/>
  <c r="R359" i="9" s="1"/>
  <c r="R371" i="9" s="1"/>
  <c r="R383" i="9" s="1"/>
  <c r="R395" i="9" s="1"/>
  <c r="R407" i="9" s="1"/>
  <c r="R419" i="9" s="1"/>
  <c r="R431" i="9" s="1"/>
  <c r="R443" i="9" s="1"/>
  <c r="R455" i="9" s="1"/>
  <c r="R467" i="9" s="1"/>
  <c r="R479" i="9" s="1"/>
  <c r="R491" i="9" s="1"/>
  <c r="R503" i="9" s="1"/>
  <c r="Z52" i="8"/>
  <c r="H54" i="8"/>
  <c r="H56" i="8"/>
  <c r="T31" i="9" l="1"/>
  <c r="T32" i="9" s="1"/>
  <c r="T33" i="9" s="1"/>
  <c r="T34" i="9" s="1"/>
  <c r="T35" i="9" s="1"/>
  <c r="T36" i="9" s="1"/>
  <c r="T37" i="9" s="1"/>
  <c r="T38" i="9" s="1"/>
  <c r="T39" i="9" s="1"/>
  <c r="T40" i="9" s="1"/>
  <c r="T41" i="9" s="1"/>
  <c r="T42" i="9" s="1"/>
  <c r="T43" i="9" s="1"/>
  <c r="T44" i="9" s="1"/>
  <c r="T45" i="9" s="1"/>
  <c r="T46" i="9" s="1"/>
  <c r="T47" i="9" s="1"/>
  <c r="T48" i="9" s="1"/>
  <c r="T49" i="9" s="1"/>
  <c r="T50" i="9" s="1"/>
  <c r="T51" i="9" s="1"/>
  <c r="T52" i="9" s="1"/>
  <c r="T53" i="9" s="1"/>
  <c r="T54" i="9" s="1"/>
  <c r="T55" i="9" s="1"/>
  <c r="T57" i="9" s="1"/>
  <c r="T58" i="9" s="1"/>
  <c r="T59" i="9" s="1"/>
  <c r="T60" i="9" s="1"/>
  <c r="T61" i="9" s="1"/>
  <c r="T62" i="9" s="1"/>
  <c r="T63" i="9" s="1"/>
  <c r="T64" i="9" s="1"/>
  <c r="T65" i="9" s="1"/>
  <c r="T66" i="9" s="1"/>
  <c r="T67" i="9" s="1"/>
  <c r="T68" i="9" s="1"/>
  <c r="T69" i="9" s="1"/>
  <c r="T70" i="9" s="1"/>
  <c r="T71" i="9" s="1"/>
  <c r="T72" i="9" s="1"/>
  <c r="T73" i="9" s="1"/>
  <c r="T74" i="9" s="1"/>
  <c r="T75" i="9" s="1"/>
  <c r="T76" i="9" s="1"/>
  <c r="T77" i="9" s="1"/>
  <c r="T78" i="9" s="1"/>
  <c r="T79" i="9" s="1"/>
  <c r="T80" i="9" s="1"/>
  <c r="T81" i="9" s="1"/>
  <c r="T82" i="9" s="1"/>
  <c r="T83" i="9" s="1"/>
  <c r="T84" i="9" s="1"/>
  <c r="T85" i="9" s="1"/>
  <c r="T86" i="9" s="1"/>
  <c r="T87" i="9" s="1"/>
  <c r="T90" i="9" s="1"/>
  <c r="T92" i="9" s="1"/>
  <c r="T93" i="9" s="1"/>
  <c r="T94" i="9" s="1"/>
  <c r="T95" i="9" s="1"/>
  <c r="T96" i="9" s="1"/>
  <c r="T97" i="9" s="1"/>
  <c r="T98" i="9" s="1"/>
  <c r="T99" i="9" s="1"/>
  <c r="T100" i="9" s="1"/>
  <c r="T101" i="9" s="1"/>
  <c r="T102" i="9" s="1"/>
  <c r="T103" i="9" s="1"/>
  <c r="T104" i="9" s="1"/>
  <c r="T105" i="9" s="1"/>
  <c r="T106" i="9" s="1"/>
  <c r="T107" i="9" s="1"/>
  <c r="T108" i="9" s="1"/>
  <c r="T109" i="9" s="1"/>
  <c r="T110" i="9" s="1"/>
  <c r="T111" i="9" s="1"/>
  <c r="T112" i="9" s="1"/>
  <c r="T113" i="9" s="1"/>
  <c r="T114" i="9" s="1"/>
  <c r="T115" i="9" s="1"/>
  <c r="T116" i="9" s="1"/>
  <c r="T117" i="9" s="1"/>
  <c r="T118" i="9" s="1"/>
  <c r="T119" i="9" s="1"/>
  <c r="T120" i="9" s="1"/>
  <c r="T121" i="9" s="1"/>
  <c r="T122" i="9" s="1"/>
  <c r="T123" i="9" s="1"/>
  <c r="T124" i="9" s="1"/>
  <c r="T125" i="9" s="1"/>
  <c r="T126" i="9" s="1"/>
  <c r="T127" i="9" s="1"/>
  <c r="T128" i="9" s="1"/>
  <c r="T129" i="9" s="1"/>
  <c r="T130" i="9" s="1"/>
  <c r="T131" i="9" s="1"/>
  <c r="T132" i="9" s="1"/>
  <c r="T133" i="9" s="1"/>
  <c r="T134" i="9" s="1"/>
  <c r="T135" i="9" s="1"/>
  <c r="T136" i="9" s="1"/>
  <c r="T137" i="9" s="1"/>
  <c r="T138" i="9" s="1"/>
  <c r="T139" i="9" s="1"/>
  <c r="T140" i="9" s="1"/>
  <c r="T141" i="9" s="1"/>
  <c r="T142" i="9" s="1"/>
  <c r="T143" i="9" s="1"/>
  <c r="T144" i="9" s="1"/>
  <c r="T145" i="9" s="1"/>
  <c r="T146" i="9" s="1"/>
  <c r="T147" i="9" s="1"/>
  <c r="T148" i="9" s="1"/>
  <c r="T149" i="9" s="1"/>
  <c r="T150" i="9" s="1"/>
  <c r="T151" i="9" s="1"/>
  <c r="T152" i="9" s="1"/>
  <c r="T153" i="9" s="1"/>
  <c r="T154" i="9" s="1"/>
  <c r="T155" i="9" s="1"/>
  <c r="T156" i="9" s="1"/>
  <c r="T157" i="9" s="1"/>
  <c r="T158" i="9" s="1"/>
  <c r="T159" i="9" s="1"/>
  <c r="T160" i="9" s="1"/>
  <c r="T161" i="9" s="1"/>
  <c r="T162" i="9" s="1"/>
  <c r="T163" i="9" s="1"/>
  <c r="T164" i="9" s="1"/>
  <c r="T165" i="9" s="1"/>
  <c r="T166" i="9" s="1"/>
  <c r="T167" i="9" s="1"/>
  <c r="T168" i="9" s="1"/>
  <c r="T169" i="9" s="1"/>
  <c r="T170" i="9" s="1"/>
  <c r="T171" i="9" s="1"/>
  <c r="T172" i="9" s="1"/>
  <c r="T173" i="9" s="1"/>
  <c r="T174" i="9" s="1"/>
  <c r="T175" i="9" s="1"/>
  <c r="T176" i="9" s="1"/>
  <c r="T177" i="9" s="1"/>
  <c r="T178" i="9" s="1"/>
  <c r="T179" i="9" s="1"/>
  <c r="T180" i="9" s="1"/>
  <c r="T181" i="9" s="1"/>
  <c r="T182" i="9" s="1"/>
  <c r="T183" i="9" s="1"/>
  <c r="T184" i="9" s="1"/>
  <c r="T185" i="9" s="1"/>
  <c r="T186" i="9" s="1"/>
  <c r="T187" i="9" s="1"/>
  <c r="T188" i="9" s="1"/>
  <c r="T189" i="9" s="1"/>
  <c r="T190" i="9" s="1"/>
  <c r="T191" i="9" s="1"/>
  <c r="T192" i="9" s="1"/>
  <c r="T193" i="9" s="1"/>
  <c r="T194" i="9" s="1"/>
  <c r="T195" i="9" s="1"/>
  <c r="T196" i="9" s="1"/>
  <c r="T197" i="9" s="1"/>
  <c r="T198" i="9" s="1"/>
  <c r="T199" i="9" s="1"/>
  <c r="T200" i="9" s="1"/>
  <c r="T201" i="9" s="1"/>
  <c r="T202" i="9" s="1"/>
  <c r="T203" i="9" s="1"/>
  <c r="T204" i="9" s="1"/>
  <c r="T205" i="9" s="1"/>
  <c r="T206" i="9" s="1"/>
  <c r="T207" i="9" s="1"/>
  <c r="T208" i="9" s="1"/>
  <c r="T209" i="9" s="1"/>
  <c r="T210" i="9" s="1"/>
  <c r="T211" i="9" s="1"/>
  <c r="T212" i="9" s="1"/>
  <c r="T213" i="9" s="1"/>
  <c r="T214" i="9" s="1"/>
  <c r="T215" i="9" s="1"/>
  <c r="T216" i="9" s="1"/>
  <c r="T217" i="9" s="1"/>
  <c r="T218" i="9" s="1"/>
  <c r="T219" i="9" s="1"/>
  <c r="T220" i="9" s="1"/>
  <c r="T221" i="9" s="1"/>
  <c r="T222" i="9" s="1"/>
  <c r="T223" i="9" s="1"/>
  <c r="T224" i="9" s="1"/>
  <c r="T225" i="9" s="1"/>
  <c r="T226" i="9" s="1"/>
  <c r="T227" i="9" s="1"/>
  <c r="T228" i="9" s="1"/>
  <c r="T229" i="9" s="1"/>
  <c r="T230" i="9" s="1"/>
  <c r="T231" i="9" s="1"/>
  <c r="T232" i="9" s="1"/>
  <c r="T233" i="9" s="1"/>
  <c r="T234" i="9" s="1"/>
  <c r="T235" i="9" s="1"/>
  <c r="T236" i="9" s="1"/>
  <c r="T237" i="9" s="1"/>
  <c r="T238" i="9" s="1"/>
  <c r="T239" i="9" s="1"/>
  <c r="T240" i="9" s="1"/>
  <c r="T241" i="9" s="1"/>
  <c r="T242" i="9" s="1"/>
  <c r="T243" i="9" s="1"/>
  <c r="T244" i="9" s="1"/>
  <c r="T245" i="9" s="1"/>
  <c r="T246" i="9" s="1"/>
  <c r="T247" i="9" s="1"/>
  <c r="T248" i="9" s="1"/>
  <c r="T249" i="9" s="1"/>
  <c r="T250" i="9" s="1"/>
  <c r="T251" i="9" s="1"/>
  <c r="T252" i="9" s="1"/>
  <c r="T253" i="9" s="1"/>
  <c r="T254" i="9" s="1"/>
  <c r="T255" i="9" s="1"/>
  <c r="T256" i="9" s="1"/>
  <c r="T257" i="9" s="1"/>
  <c r="T258" i="9" s="1"/>
  <c r="T259" i="9" s="1"/>
  <c r="T260" i="9" s="1"/>
  <c r="T261" i="9" s="1"/>
  <c r="T262" i="9" s="1"/>
  <c r="T263" i="9" s="1"/>
  <c r="H58" i="8"/>
  <c r="T264" i="9" l="1"/>
  <c r="T265" i="9" s="1"/>
  <c r="T266" i="9" s="1"/>
  <c r="T267" i="9" s="1"/>
  <c r="T268" i="9" s="1"/>
  <c r="T269" i="9" s="1"/>
  <c r="T270" i="9" s="1"/>
  <c r="T271" i="9" s="1"/>
  <c r="T272" i="9" s="1"/>
  <c r="T273" i="9" s="1"/>
  <c r="T274" i="9" s="1"/>
  <c r="T275" i="9" s="1"/>
  <c r="T276" i="9" s="1"/>
  <c r="T277" i="9" s="1"/>
  <c r="T278" i="9" s="1"/>
  <c r="T279" i="9" s="1"/>
  <c r="T280" i="9" s="1"/>
  <c r="T281" i="9" s="1"/>
  <c r="T282" i="9" s="1"/>
  <c r="T283" i="9" s="1"/>
  <c r="T284" i="9" s="1"/>
  <c r="T285" i="9" s="1"/>
  <c r="T286" i="9" s="1"/>
  <c r="T287" i="9" s="1"/>
  <c r="T288" i="9" s="1"/>
  <c r="T289" i="9" s="1"/>
  <c r="T290" i="9" s="1"/>
  <c r="T291" i="9" s="1"/>
  <c r="T292" i="9" s="1"/>
  <c r="T293" i="9" s="1"/>
  <c r="T294" i="9" s="1"/>
  <c r="T295" i="9" s="1"/>
  <c r="T296" i="9" s="1"/>
  <c r="T297" i="9" s="1"/>
  <c r="T298" i="9" s="1"/>
  <c r="T299" i="9" s="1"/>
  <c r="T300" i="9" s="1"/>
  <c r="T301" i="9" s="1"/>
  <c r="T302" i="9" s="1"/>
  <c r="T303" i="9" s="1"/>
  <c r="T304" i="9" s="1"/>
  <c r="T305" i="9" s="1"/>
  <c r="T306" i="9" s="1"/>
  <c r="T307" i="9" s="1"/>
  <c r="T308" i="9" s="1"/>
  <c r="T309" i="9" s="1"/>
  <c r="T310" i="9" s="1"/>
  <c r="T311" i="9" s="1"/>
  <c r="T312" i="9" s="1"/>
  <c r="T313" i="9" s="1"/>
  <c r="T314" i="9" s="1"/>
  <c r="T315" i="9" s="1"/>
  <c r="T316" i="9" s="1"/>
  <c r="T317" i="9" s="1"/>
  <c r="T318" i="9" s="1"/>
  <c r="T319" i="9" s="1"/>
  <c r="T320" i="9" s="1"/>
  <c r="T321" i="9" s="1"/>
  <c r="T322" i="9" s="1"/>
  <c r="T323" i="9" s="1"/>
  <c r="T324" i="9" s="1"/>
  <c r="T325" i="9" s="1"/>
  <c r="T326" i="9" s="1"/>
  <c r="T327" i="9" s="1"/>
  <c r="T328" i="9" s="1"/>
  <c r="T329" i="9" s="1"/>
  <c r="T330" i="9" s="1"/>
  <c r="T331" i="9" s="1"/>
  <c r="T332" i="9" s="1"/>
  <c r="T333" i="9" s="1"/>
  <c r="T334" i="9" s="1"/>
  <c r="T335" i="9" s="1"/>
  <c r="T336" i="9" s="1"/>
  <c r="T337" i="9" s="1"/>
  <c r="T338" i="9" s="1"/>
  <c r="T339" i="9" s="1"/>
  <c r="T340" i="9" s="1"/>
  <c r="T341" i="9" s="1"/>
  <c r="T342" i="9" s="1"/>
  <c r="T343" i="9" s="1"/>
  <c r="T344" i="9" s="1"/>
  <c r="T345" i="9" s="1"/>
  <c r="T346" i="9" s="1"/>
  <c r="T347" i="9" s="1"/>
  <c r="T348" i="9" s="1"/>
  <c r="T349" i="9" s="1"/>
  <c r="T350" i="9" s="1"/>
  <c r="T351" i="9" s="1"/>
  <c r="T352" i="9" s="1"/>
  <c r="T353" i="9" s="1"/>
  <c r="T354" i="9" s="1"/>
  <c r="T355" i="9" s="1"/>
  <c r="T356" i="9" s="1"/>
  <c r="T357" i="9" s="1"/>
  <c r="T358" i="9" s="1"/>
  <c r="T359" i="9" s="1"/>
  <c r="T360" i="9" s="1"/>
  <c r="T361" i="9" s="1"/>
  <c r="T362" i="9" s="1"/>
  <c r="T363" i="9" s="1"/>
  <c r="T364" i="9" s="1"/>
  <c r="T365" i="9" s="1"/>
  <c r="T366" i="9" s="1"/>
  <c r="T367" i="9" s="1"/>
  <c r="T368" i="9" s="1"/>
  <c r="T369" i="9" s="1"/>
  <c r="T370" i="9" s="1"/>
  <c r="T371" i="9" s="1"/>
  <c r="T372" i="9" s="1"/>
  <c r="T373" i="9" s="1"/>
  <c r="T374" i="9" s="1"/>
  <c r="T375" i="9" s="1"/>
  <c r="T376" i="9" s="1"/>
  <c r="T377" i="9" s="1"/>
  <c r="T378" i="9" s="1"/>
  <c r="T379" i="9" s="1"/>
  <c r="T380" i="9" s="1"/>
  <c r="T381" i="9" s="1"/>
  <c r="T382" i="9" s="1"/>
  <c r="T383" i="9" s="1"/>
  <c r="V16" i="9"/>
  <c r="H60" i="8"/>
  <c r="H62" i="8" s="1"/>
  <c r="T384" i="9" l="1"/>
  <c r="T385" i="9" s="1"/>
  <c r="T386" i="9" s="1"/>
  <c r="T387" i="9" s="1"/>
  <c r="T388" i="9" s="1"/>
  <c r="T389" i="9" s="1"/>
  <c r="T390" i="9" s="1"/>
  <c r="T391" i="9" s="1"/>
  <c r="T392" i="9" s="1"/>
  <c r="T393" i="9" s="1"/>
  <c r="T394" i="9" s="1"/>
  <c r="T395" i="9" s="1"/>
  <c r="T396" i="9" s="1"/>
  <c r="T397" i="9" s="1"/>
  <c r="T398" i="9" s="1"/>
  <c r="T399" i="9" s="1"/>
  <c r="T400" i="9" s="1"/>
  <c r="T401" i="9" s="1"/>
  <c r="T402" i="9" s="1"/>
  <c r="T403" i="9" s="1"/>
  <c r="T404" i="9" s="1"/>
  <c r="T405" i="9" s="1"/>
  <c r="T406" i="9" s="1"/>
  <c r="T407" i="9" s="1"/>
  <c r="T408" i="9" s="1"/>
  <c r="T409" i="9" s="1"/>
  <c r="T410" i="9" s="1"/>
  <c r="T411" i="9" s="1"/>
  <c r="T412" i="9" s="1"/>
  <c r="T413" i="9" s="1"/>
  <c r="T414" i="9" s="1"/>
  <c r="T415" i="9" s="1"/>
  <c r="T416" i="9" s="1"/>
  <c r="T417" i="9" s="1"/>
  <c r="T418" i="9" s="1"/>
  <c r="T419" i="9" s="1"/>
  <c r="T420" i="9" s="1"/>
  <c r="T421" i="9" s="1"/>
  <c r="T422" i="9" s="1"/>
  <c r="T423" i="9" s="1"/>
  <c r="T424" i="9" s="1"/>
  <c r="T425" i="9" s="1"/>
  <c r="T426" i="9" s="1"/>
  <c r="T427" i="9" s="1"/>
  <c r="T428" i="9" s="1"/>
  <c r="T429" i="9" s="1"/>
  <c r="T430" i="9" s="1"/>
  <c r="T431" i="9" s="1"/>
  <c r="T432" i="9" s="1"/>
  <c r="T433" i="9" s="1"/>
  <c r="T434" i="9" s="1"/>
  <c r="T435" i="9" s="1"/>
  <c r="T436" i="9" s="1"/>
  <c r="T437" i="9" s="1"/>
  <c r="T438" i="9" s="1"/>
  <c r="T439" i="9" s="1"/>
  <c r="T440" i="9" s="1"/>
  <c r="T441" i="9" s="1"/>
  <c r="T442" i="9" s="1"/>
  <c r="T443" i="9" s="1"/>
  <c r="T444" i="9" s="1"/>
  <c r="T445" i="9" s="1"/>
  <c r="T446" i="9" s="1"/>
  <c r="T447" i="9" s="1"/>
  <c r="T448" i="9" s="1"/>
  <c r="T449" i="9" s="1"/>
  <c r="T450" i="9" s="1"/>
  <c r="T451" i="9" s="1"/>
  <c r="T452" i="9" s="1"/>
  <c r="T453" i="9" s="1"/>
  <c r="T454" i="9" s="1"/>
  <c r="T455" i="9" s="1"/>
  <c r="T456" i="9" s="1"/>
  <c r="T457" i="9" s="1"/>
  <c r="T458" i="9" s="1"/>
  <c r="T459" i="9" s="1"/>
  <c r="T460" i="9" s="1"/>
  <c r="T461" i="9" s="1"/>
  <c r="T462" i="9" s="1"/>
  <c r="T463" i="9" s="1"/>
  <c r="T464" i="9" s="1"/>
  <c r="T465" i="9" s="1"/>
  <c r="T466" i="9" s="1"/>
  <c r="T467" i="9" s="1"/>
  <c r="T468" i="9" s="1"/>
  <c r="T469" i="9" s="1"/>
  <c r="T470" i="9" s="1"/>
  <c r="T471" i="9" s="1"/>
  <c r="T472" i="9" s="1"/>
  <c r="T473" i="9" s="1"/>
  <c r="T474" i="9" s="1"/>
  <c r="T475" i="9" s="1"/>
  <c r="T476" i="9" s="1"/>
  <c r="T477" i="9" s="1"/>
  <c r="T478" i="9" s="1"/>
  <c r="T479" i="9" s="1"/>
  <c r="T480" i="9" s="1"/>
  <c r="T481" i="9" s="1"/>
  <c r="T482" i="9" s="1"/>
  <c r="T483" i="9" s="1"/>
  <c r="T484" i="9" s="1"/>
  <c r="T485" i="9" s="1"/>
  <c r="T486" i="9" s="1"/>
  <c r="T487" i="9" s="1"/>
  <c r="T488" i="9" s="1"/>
  <c r="T489" i="9" s="1"/>
  <c r="T490" i="9" s="1"/>
  <c r="T491" i="9" s="1"/>
  <c r="T492" i="9" s="1"/>
  <c r="T493" i="9" s="1"/>
  <c r="T494" i="9" s="1"/>
  <c r="T495" i="9" s="1"/>
  <c r="T496" i="9" s="1"/>
  <c r="T497" i="9" s="1"/>
  <c r="T498" i="9" s="1"/>
  <c r="T499" i="9" s="1"/>
  <c r="T500" i="9" s="1"/>
  <c r="T501" i="9" s="1"/>
  <c r="T502" i="9" s="1"/>
  <c r="T503" i="9" s="1"/>
  <c r="V18" i="9" s="1"/>
  <c r="V17" i="9"/>
  <c r="H64" i="8"/>
  <c r="H66" i="8" s="1"/>
  <c r="H68" i="8" l="1"/>
  <c r="J48" i="8" s="1"/>
  <c r="J50" i="8" s="1"/>
  <c r="J54" i="8" l="1"/>
  <c r="J56" i="8"/>
  <c r="J58" i="8" l="1"/>
  <c r="J60" i="8" l="1"/>
  <c r="J62" i="8" s="1"/>
  <c r="J64" i="8" l="1"/>
  <c r="J66" i="8" s="1"/>
  <c r="J68" i="8" l="1"/>
  <c r="L48" i="8" s="1"/>
  <c r="L50" i="8" s="1"/>
  <c r="L54" i="8" l="1"/>
  <c r="L56" i="8"/>
  <c r="L58" i="8" s="1"/>
  <c r="L60" i="8" l="1"/>
  <c r="L62" i="8"/>
  <c r="L64" i="8" s="1"/>
  <c r="L66" i="8" s="1"/>
  <c r="L68" i="8" l="1"/>
  <c r="N48" i="8" s="1"/>
  <c r="N50" i="8" s="1"/>
  <c r="N54" i="8" l="1"/>
  <c r="N56" i="8"/>
  <c r="N58" i="8" s="1"/>
  <c r="N60" i="8" l="1"/>
  <c r="N62" i="8"/>
  <c r="N64" i="8" l="1"/>
  <c r="N66" i="8" s="1"/>
  <c r="N68" i="8" l="1"/>
  <c r="P48" i="8" s="1"/>
  <c r="P50" i="8" s="1"/>
  <c r="P54" i="8" l="1"/>
  <c r="P56" i="8"/>
  <c r="P58" i="8" s="1"/>
  <c r="P60" i="8" l="1"/>
  <c r="P62" i="8"/>
  <c r="P64" i="8" l="1"/>
  <c r="P66" i="8" s="1"/>
  <c r="P68" i="8" l="1"/>
  <c r="R48" i="8" s="1"/>
  <c r="R50" i="8" s="1"/>
  <c r="R54" i="8" l="1"/>
  <c r="R56" i="8"/>
  <c r="R58" i="8" s="1"/>
  <c r="R60" i="8" l="1"/>
  <c r="R62" i="8"/>
  <c r="R68" i="8" s="1"/>
  <c r="T48" i="8" s="1"/>
  <c r="T50" i="8" s="1"/>
  <c r="R64" i="8"/>
  <c r="R66" i="8" s="1"/>
  <c r="T54" i="8" l="1"/>
  <c r="T56" i="8"/>
  <c r="T58" i="8" s="1"/>
  <c r="T60" i="8" l="1"/>
  <c r="T62" i="8"/>
  <c r="T64" i="8" l="1"/>
  <c r="T66" i="8" s="1"/>
  <c r="T68" i="8" l="1"/>
  <c r="V48" i="8" s="1"/>
  <c r="V50" i="8" s="1"/>
  <c r="V54" i="8" l="1"/>
  <c r="V56" i="8"/>
  <c r="V58" i="8" s="1"/>
  <c r="V60" i="8" l="1"/>
  <c r="V64" i="8"/>
  <c r="V66" i="8" s="1"/>
  <c r="V62" i="8"/>
  <c r="V68" i="8" s="1"/>
  <c r="X48" i="8" s="1"/>
  <c r="X50" i="8" s="1"/>
  <c r="X54" i="8" l="1"/>
  <c r="X56" i="8"/>
  <c r="X58" i="8" l="1"/>
  <c r="X60" i="8" l="1"/>
  <c r="X62" i="8" s="1"/>
  <c r="X64" i="8" l="1"/>
  <c r="X66" i="8" s="1"/>
  <c r="X68" i="8" l="1"/>
  <c r="Z48" i="8" s="1"/>
  <c r="Z50" i="8" s="1"/>
  <c r="Z54" i="8" l="1"/>
  <c r="Z56" i="8"/>
  <c r="AB56" i="8" l="1"/>
  <c r="Z58" i="8"/>
  <c r="Z60" i="8" l="1"/>
  <c r="Z62" i="8" l="1"/>
  <c r="G121" i="4"/>
  <c r="G120" i="4"/>
  <c r="G119" i="4"/>
  <c r="G118" i="4"/>
  <c r="G117" i="4"/>
  <c r="G116" i="4"/>
  <c r="G115" i="4"/>
  <c r="G114" i="4"/>
  <c r="G113" i="4"/>
  <c r="A103" i="4"/>
  <c r="A101" i="4"/>
  <c r="A99" i="4" s="1"/>
  <c r="A97" i="4"/>
  <c r="F95" i="4"/>
  <c r="G95" i="4" s="1"/>
  <c r="H87" i="4"/>
  <c r="G87" i="4"/>
  <c r="F87" i="4"/>
  <c r="E87" i="4"/>
  <c r="D86" i="4"/>
  <c r="D87" i="4" s="1"/>
  <c r="E43" i="4" s="1"/>
  <c r="G43" i="4" s="1"/>
  <c r="H82" i="4"/>
  <c r="G82" i="4"/>
  <c r="F29" i="4" s="1"/>
  <c r="F82" i="4"/>
  <c r="E82" i="4"/>
  <c r="D81" i="4"/>
  <c r="D82" i="4" s="1"/>
  <c r="E30" i="4" s="1"/>
  <c r="G30" i="4" s="1"/>
  <c r="A69" i="4"/>
  <c r="H57" i="4"/>
  <c r="H55" i="4"/>
  <c r="F55" i="4"/>
  <c r="G55" i="4" s="1"/>
  <c r="H46" i="4"/>
  <c r="E46" i="4"/>
  <c r="G46" i="4" s="1"/>
  <c r="H45" i="4"/>
  <c r="G45" i="4"/>
  <c r="E45" i="4"/>
  <c r="H44" i="4"/>
  <c r="E44" i="4"/>
  <c r="G44" i="4" s="1"/>
  <c r="H43" i="4"/>
  <c r="H42" i="4"/>
  <c r="F42" i="4"/>
  <c r="G42" i="4" s="1"/>
  <c r="E42" i="4"/>
  <c r="H41" i="4"/>
  <c r="E41" i="4"/>
  <c r="G41" i="4" s="1"/>
  <c r="H36" i="4"/>
  <c r="H35" i="4"/>
  <c r="H34" i="4"/>
  <c r="E34" i="4"/>
  <c r="G34" i="4" s="1"/>
  <c r="H33" i="4"/>
  <c r="G33" i="4"/>
  <c r="E33" i="4"/>
  <c r="H32" i="4"/>
  <c r="E32" i="4"/>
  <c r="G32" i="4" s="1"/>
  <c r="H31" i="4"/>
  <c r="G31" i="4"/>
  <c r="E31" i="4"/>
  <c r="H30" i="4"/>
  <c r="H29" i="4"/>
  <c r="E29" i="4"/>
  <c r="H28" i="4"/>
  <c r="G28" i="4"/>
  <c r="E28" i="4"/>
  <c r="H27" i="4"/>
  <c r="G27" i="4"/>
  <c r="H26" i="4"/>
  <c r="F26" i="4"/>
  <c r="E26" i="4"/>
  <c r="G26" i="4" s="1"/>
  <c r="H25" i="4"/>
  <c r="F25" i="4"/>
  <c r="E25" i="4"/>
  <c r="G25" i="4" s="1"/>
  <c r="H24" i="4"/>
  <c r="F24" i="4"/>
  <c r="E24" i="4"/>
  <c r="G24" i="4" s="1"/>
  <c r="H23" i="4"/>
  <c r="F23" i="4"/>
  <c r="E23" i="4"/>
  <c r="G23" i="4" s="1"/>
  <c r="H22" i="4"/>
  <c r="G22" i="4"/>
  <c r="H21" i="4"/>
  <c r="G21" i="4"/>
  <c r="H20" i="4"/>
  <c r="E20" i="4"/>
  <c r="G20" i="4" s="1"/>
  <c r="H19" i="4"/>
  <c r="E19" i="4"/>
  <c r="G19" i="4" s="1"/>
  <c r="H18" i="4"/>
  <c r="E18" i="4"/>
  <c r="G18" i="4" s="1"/>
  <c r="H16" i="4"/>
  <c r="G16" i="4"/>
  <c r="H15" i="4"/>
  <c r="G15" i="4"/>
  <c r="H10" i="4"/>
  <c r="G12" i="4"/>
  <c r="C5" i="4"/>
  <c r="D95" i="4" l="1"/>
  <c r="H95" i="4"/>
  <c r="A105" i="4"/>
  <c r="G48" i="4"/>
  <c r="AB62" i="8"/>
  <c r="Z64" i="8"/>
  <c r="Z66" i="8" s="1"/>
  <c r="Z68" i="8"/>
  <c r="AB60" i="8"/>
  <c r="H48" i="4"/>
  <c r="E48" i="4"/>
  <c r="G29" i="4"/>
  <c r="E36" i="4"/>
  <c r="G36" i="4" s="1"/>
  <c r="G38" i="4" s="1"/>
  <c r="H12" i="4"/>
  <c r="E95" i="4"/>
  <c r="AB66" i="8" l="1"/>
  <c r="AB58" i="8"/>
  <c r="AB68" i="8"/>
  <c r="E38" i="4"/>
  <c r="G50" i="4"/>
  <c r="H38" i="4"/>
  <c r="B103" i="4" l="1"/>
  <c r="H50" i="4"/>
  <c r="C50" i="4"/>
  <c r="B105" i="4"/>
  <c r="B97" i="4"/>
  <c r="B99" i="4"/>
  <c r="E57" i="4"/>
  <c r="G57" i="4" s="1"/>
  <c r="G59" i="4" s="1"/>
  <c r="H59" i="4" s="1"/>
  <c r="E50" i="4"/>
  <c r="B101" i="4"/>
  <c r="G52" i="4"/>
  <c r="H52" i="4" s="1"/>
  <c r="F99" i="4" l="1"/>
  <c r="H99" i="4"/>
  <c r="G99" i="4"/>
  <c r="D99" i="4"/>
  <c r="E99" i="4"/>
  <c r="F101" i="4"/>
  <c r="H101" i="4"/>
  <c r="G101" i="4"/>
  <c r="D101" i="4"/>
  <c r="E101" i="4"/>
  <c r="H97" i="4"/>
  <c r="G97" i="4"/>
  <c r="F97" i="4"/>
  <c r="D97" i="4"/>
  <c r="E97" i="4"/>
  <c r="G61" i="4"/>
  <c r="D105" i="4"/>
  <c r="H105" i="4"/>
  <c r="G105" i="4"/>
  <c r="F105" i="4"/>
  <c r="E105" i="4"/>
  <c r="G103" i="4"/>
  <c r="D103" i="4"/>
  <c r="F103" i="4"/>
  <c r="H103" i="4"/>
  <c r="E103" i="4"/>
  <c r="H61" i="4" l="1"/>
  <c r="E61" i="4"/>
  <c r="G63" i="4"/>
  <c r="H63" i="4" s="1"/>
  <c r="J117" i="3" l="1"/>
  <c r="I115" i="3"/>
  <c r="I114" i="3"/>
  <c r="I113" i="3"/>
  <c r="I110" i="3"/>
  <c r="I109" i="3"/>
  <c r="I108" i="3"/>
  <c r="I107" i="3"/>
  <c r="I106" i="3"/>
  <c r="I103" i="3"/>
  <c r="I102" i="3"/>
  <c r="I101" i="3"/>
  <c r="I100" i="3"/>
  <c r="F99" i="3"/>
  <c r="I99" i="3" s="1"/>
  <c r="I98" i="3"/>
  <c r="A97" i="3"/>
  <c r="J104" i="3" s="1"/>
  <c r="I95" i="3"/>
  <c r="I94" i="3"/>
  <c r="I93" i="3"/>
  <c r="I92" i="3"/>
  <c r="I91" i="3"/>
  <c r="F91" i="3"/>
  <c r="I90" i="3"/>
  <c r="I89" i="3"/>
  <c r="D88" i="3"/>
  <c r="A88" i="3"/>
  <c r="J84" i="3"/>
  <c r="J83" i="3"/>
  <c r="J82" i="3"/>
  <c r="J86" i="3" s="1"/>
  <c r="H68" i="3"/>
  <c r="A112" i="3" s="1"/>
  <c r="J116" i="3" s="1"/>
  <c r="G68" i="3"/>
  <c r="A105" i="3" s="1"/>
  <c r="J111" i="3" s="1"/>
  <c r="F68" i="3"/>
  <c r="E68" i="3"/>
  <c r="J74" i="3" s="1"/>
  <c r="H21" i="3" s="1"/>
  <c r="I21" i="3" s="1"/>
  <c r="D68" i="3"/>
  <c r="A65" i="3"/>
  <c r="B58" i="3"/>
  <c r="B57" i="3"/>
  <c r="B56" i="3"/>
  <c r="B54" i="3"/>
  <c r="B53" i="3"/>
  <c r="J51" i="3"/>
  <c r="I51" i="3"/>
  <c r="H51" i="3"/>
  <c r="F51" i="3"/>
  <c r="E51" i="3"/>
  <c r="D51" i="3"/>
  <c r="H40" i="3"/>
  <c r="I40" i="3" s="1"/>
  <c r="I39" i="3"/>
  <c r="H39" i="3"/>
  <c r="H38" i="3"/>
  <c r="I38" i="3" s="1"/>
  <c r="I37" i="3"/>
  <c r="H37" i="3"/>
  <c r="H36" i="3"/>
  <c r="I36" i="3" s="1"/>
  <c r="H32" i="3"/>
  <c r="I32" i="3" s="1"/>
  <c r="H31" i="3"/>
  <c r="I31" i="3" s="1"/>
  <c r="H30" i="3"/>
  <c r="I30" i="3" s="1"/>
  <c r="H28" i="3"/>
  <c r="I28" i="3" s="1"/>
  <c r="H27" i="3"/>
  <c r="I26" i="3"/>
  <c r="H26" i="3"/>
  <c r="I25" i="3"/>
  <c r="E24" i="3"/>
  <c r="A24" i="3"/>
  <c r="E23" i="3"/>
  <c r="A23" i="3"/>
  <c r="E22" i="3"/>
  <c r="A22" i="3"/>
  <c r="E21" i="3"/>
  <c r="A21" i="3"/>
  <c r="E20" i="3"/>
  <c r="A20" i="3"/>
  <c r="E19" i="3"/>
  <c r="A19" i="3"/>
  <c r="E18" i="3"/>
  <c r="A18" i="3"/>
  <c r="B14" i="3"/>
  <c r="H29" i="3" s="1"/>
  <c r="I29" i="3" s="1"/>
  <c r="I13" i="3"/>
  <c r="H13" i="3"/>
  <c r="B13" i="3"/>
  <c r="H33" i="3" s="1"/>
  <c r="H12" i="3"/>
  <c r="I12" i="3" s="1"/>
  <c r="B12" i="3"/>
  <c r="B11" i="3"/>
  <c r="H35" i="3" s="1"/>
  <c r="J96" i="3" l="1"/>
  <c r="J119" i="3" s="1"/>
  <c r="F27" i="3" s="1"/>
  <c r="I27" i="3" s="1"/>
  <c r="J71" i="3"/>
  <c r="H18" i="3" s="1"/>
  <c r="I18" i="3" s="1"/>
  <c r="J75" i="3"/>
  <c r="H22" i="3" s="1"/>
  <c r="I22" i="3" s="1"/>
  <c r="H14" i="3"/>
  <c r="I14" i="3" s="1"/>
  <c r="F33" i="3" s="1"/>
  <c r="I33" i="3" s="1"/>
  <c r="J72" i="3"/>
  <c r="H19" i="3" s="1"/>
  <c r="I19" i="3" s="1"/>
  <c r="J76" i="3"/>
  <c r="H23" i="3" s="1"/>
  <c r="I23" i="3" s="1"/>
  <c r="H11" i="3"/>
  <c r="I11" i="3" s="1"/>
  <c r="I15" i="3" s="1"/>
  <c r="H34" i="3"/>
  <c r="I34" i="3" s="1"/>
  <c r="J73" i="3"/>
  <c r="H20" i="3" s="1"/>
  <c r="I20" i="3" s="1"/>
  <c r="J77" i="3"/>
  <c r="H24" i="3" s="1"/>
  <c r="I24" i="3" s="1"/>
  <c r="G15" i="3" l="1"/>
  <c r="F35" i="3"/>
  <c r="I35" i="3" s="1"/>
  <c r="H41" i="3" s="1"/>
  <c r="I41" i="3" s="1"/>
  <c r="I43" i="3" l="1"/>
  <c r="G43" i="3" l="1"/>
  <c r="H58" i="3"/>
  <c r="H56" i="3"/>
  <c r="G54" i="3"/>
  <c r="G57" i="3"/>
  <c r="F54" i="3"/>
  <c r="F58" i="3"/>
  <c r="F56" i="3"/>
  <c r="E54" i="3"/>
  <c r="E58" i="3"/>
  <c r="E56" i="3"/>
  <c r="D54" i="3"/>
  <c r="D57" i="3"/>
  <c r="G58" i="3"/>
  <c r="J54" i="3"/>
  <c r="J56" i="3"/>
  <c r="I58" i="3"/>
  <c r="I56" i="3"/>
  <c r="I47" i="3"/>
  <c r="G47" i="3" s="1"/>
  <c r="D58" i="3"/>
  <c r="D56" i="3"/>
  <c r="G53" i="3"/>
  <c r="G56" i="3"/>
  <c r="J53" i="3"/>
  <c r="J57" i="3"/>
  <c r="J55" i="3"/>
  <c r="I53" i="3"/>
  <c r="I57" i="3"/>
  <c r="I55" i="3"/>
  <c r="H53" i="3"/>
  <c r="H57" i="3"/>
  <c r="H55" i="3"/>
  <c r="G55" i="3"/>
  <c r="F53" i="3"/>
  <c r="F57" i="3"/>
  <c r="F55" i="3"/>
  <c r="E53" i="3"/>
  <c r="E57" i="3"/>
  <c r="E55" i="3"/>
  <c r="D53" i="3"/>
  <c r="D55" i="3"/>
  <c r="J58" i="3"/>
  <c r="I54" i="3"/>
  <c r="H5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White</author>
  </authors>
  <commentList>
    <comment ref="B3" authorId="0" shapeId="0" xr:uid="{FB329FCC-B392-4315-8AD9-9788A635B7DA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This is the date she has her calf and enters the lactating herd.</t>
        </r>
      </text>
    </comment>
    <comment ref="B5" authorId="0" shapeId="0" xr:uid="{32AD7143-B3E7-4841-BCB2-6EC55DC6E79B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This is the average number of days from the date of successful breeding to the date of calving.</t>
        </r>
      </text>
    </comment>
    <comment ref="B6" authorId="0" shapeId="0" xr:uid="{647AB824-CD3E-4EAC-A71F-F9B749F37D3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This is the number of days that you plan to milk the cow.  305 days is considered a "standard lactation".</t>
        </r>
      </text>
    </comment>
    <comment ref="B7" authorId="0" shapeId="0" xr:uid="{DAD8FF28-56CC-4519-B173-8B112A1B54FB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This is the number of days after calving that you will wait before you breed her.</t>
        </r>
      </text>
    </comment>
    <comment ref="B9" authorId="0" shapeId="0" xr:uid="{AC0A71CC-0414-4C4E-AD85-6DD79CD3FA88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This is the number of days from the beginning of 1 heat period to the next.</t>
        </r>
      </text>
    </comment>
    <comment ref="B10" authorId="0" shapeId="0" xr:uid="{2F9EA129-EEB5-46FD-A5E4-5CD078E2FE31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The estimated number of times she will be bred before "she takes".</t>
        </r>
      </text>
    </comment>
    <comment ref="B13" authorId="0" shapeId="0" xr:uid="{43B2E4CA-A7C7-471D-8E01-ABA07318F347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This is the earliest date that you want to breed her after she calves.</t>
        </r>
      </text>
    </comment>
    <comment ref="B14" authorId="0" shapeId="0" xr:uid="{1DBB6B2A-4EC2-4717-9ADF-8AE253339E6A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This is the expected date when she is successfully bred.</t>
        </r>
      </text>
    </comment>
    <comment ref="B16" authorId="0" shapeId="0" xr:uid="{A32F2325-53C9-4803-9BA9-BB2C5D98A2CB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This is the date when she will leave the lactating herd and enter the dry cow herd.</t>
        </r>
      </text>
    </comment>
    <comment ref="B18" authorId="0" shapeId="0" xr:uid="{825F2AF5-F3CE-4166-81A0-7269B1731A5A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This is the expected date of becoming a momma.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White, Alex</author>
  </authors>
  <commentList>
    <comment ref="B31" authorId="0" shapeId="0" xr:uid="{E05B034F-AFF2-4D85-A90D-B85B115B3A1F}">
      <text>
        <r>
          <rPr>
            <b/>
            <sz val="9"/>
            <color indexed="81"/>
            <rFont val="Tahoma"/>
            <family val="2"/>
          </rPr>
          <t>White, Alex:</t>
        </r>
        <r>
          <rPr>
            <sz val="9"/>
            <color indexed="81"/>
            <rFont val="Tahoma"/>
            <family val="2"/>
          </rPr>
          <t xml:space="preserve">
Only on COGS for this example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Eberly</author>
  </authors>
  <commentList>
    <comment ref="H5" authorId="0" shapeId="0" xr:uid="{A60F5F13-8797-4C01-BF69-F8AFFEF92547}">
      <text>
        <r>
          <rPr>
            <sz val="8"/>
            <color indexed="81"/>
            <rFont val="Tahoma"/>
            <family val="2"/>
          </rPr>
          <t>This column calculates totals per crop based on the number of acres entered here.</t>
        </r>
      </text>
    </comment>
    <comment ref="E10" authorId="0" shapeId="0" xr:uid="{BAA01DCD-EB1C-4EAE-9283-E2CBD9B8B769}">
      <text>
        <r>
          <rPr>
            <sz val="8"/>
            <color indexed="81"/>
            <rFont val="Tahoma"/>
            <family val="2"/>
          </rPr>
          <t>Enter your expected  yield based on yield history of field / farm.</t>
        </r>
      </text>
    </comment>
    <comment ref="F10" authorId="0" shapeId="0" xr:uid="{EECACAD8-6571-488A-9156-68729F68B96B}">
      <text>
        <r>
          <rPr>
            <sz val="8"/>
            <color indexed="81"/>
            <rFont val="Tahoma"/>
            <family val="2"/>
          </rPr>
          <t>USDA Projection for the Marketing Year.
Enter your expected market price.</t>
        </r>
      </text>
    </comment>
    <comment ref="C18" authorId="0" shapeId="0" xr:uid="{E19EAE06-13B6-4939-8505-3E5BA98D3071}">
      <text>
        <r>
          <rPr>
            <sz val="8"/>
            <color indexed="81"/>
            <rFont val="Tahoma"/>
            <family val="2"/>
          </rPr>
          <t>Soil Test Recommendation or Actual Amount Applied.</t>
        </r>
      </text>
    </comment>
    <comment ref="E18" authorId="0" shapeId="0" xr:uid="{E4FA5149-A5CD-41FD-8679-0B02E8D8CD26}">
      <text>
        <r>
          <rPr>
            <sz val="8"/>
            <color indexed="81"/>
            <rFont val="Tahoma"/>
            <family val="2"/>
          </rPr>
          <t>Nutrient Removal based on expected crop yield.</t>
        </r>
      </text>
    </comment>
    <comment ref="C19" authorId="0" shapeId="0" xr:uid="{49C34314-3399-4AE4-9E6E-7383E56E11D4}">
      <text>
        <r>
          <rPr>
            <sz val="8"/>
            <color indexed="81"/>
            <rFont val="Tahoma"/>
            <family val="2"/>
          </rPr>
          <t>Soil Test Recommendation or Actual Amount Applied.</t>
        </r>
      </text>
    </comment>
    <comment ref="E19" authorId="0" shapeId="0" xr:uid="{2D4FF82D-4DC3-4EDD-9635-1B9894421A5B}">
      <text>
        <r>
          <rPr>
            <sz val="8"/>
            <color indexed="81"/>
            <rFont val="Tahoma"/>
            <family val="2"/>
          </rPr>
          <t>Nutrient Removal based on expected crop yield.</t>
        </r>
      </text>
    </comment>
    <comment ref="C20" authorId="0" shapeId="0" xr:uid="{6FB69B3F-615F-4895-B9B4-14A909C3A28F}">
      <text>
        <r>
          <rPr>
            <sz val="8"/>
            <color indexed="81"/>
            <rFont val="Tahoma"/>
            <family val="2"/>
          </rPr>
          <t>Soil Test Recommendation or Actual Amount Applied.</t>
        </r>
      </text>
    </comment>
    <comment ref="E20" authorId="0" shapeId="0" xr:uid="{D2412F5C-1E24-4740-BA67-755A97AF2447}">
      <text>
        <r>
          <rPr>
            <sz val="8"/>
            <color indexed="81"/>
            <rFont val="Tahoma"/>
            <family val="2"/>
          </rPr>
          <t>Nutrient Removal based on expected crop yield.</t>
        </r>
      </text>
    </comment>
    <comment ref="E22" authorId="0" shapeId="0" xr:uid="{F46DE137-3FFE-487A-9744-5D245B283E08}">
      <text>
        <r>
          <rPr>
            <sz val="8"/>
            <color indexed="81"/>
            <rFont val="Tahoma"/>
            <family val="2"/>
          </rPr>
          <t>Projected lime needs if calculated on an annual basis.</t>
        </r>
      </text>
    </comment>
    <comment ref="D28" authorId="0" shapeId="0" xr:uid="{80BCF525-C8B2-40A3-8C22-67FE822C8465}">
      <text>
        <r>
          <rPr>
            <sz val="8"/>
            <color indexed="81"/>
            <rFont val="Tahoma"/>
            <family val="2"/>
          </rPr>
          <t>Equivalent Gallons
Gallons of Diesel Fuel + 15% to cover Oil &amp; Lube</t>
        </r>
      </text>
    </comment>
    <comment ref="E36" authorId="0" shapeId="0" xr:uid="{7A903538-A45A-46B3-AA82-FBC5AC7E92D0}">
      <text>
        <r>
          <rPr>
            <sz val="8"/>
            <color indexed="81"/>
            <rFont val="Tahoma"/>
            <family val="2"/>
          </rPr>
          <t>Assumes that interest is charged on ALL pre-harvest expenses. Amount displayed is pre-harvest expense times Months/12.</t>
        </r>
      </text>
    </comment>
    <comment ref="D41" authorId="0" shapeId="0" xr:uid="{B6AE37C4-8654-4D88-9781-8555FE92432E}">
      <text>
        <r>
          <rPr>
            <sz val="8"/>
            <color indexed="81"/>
            <rFont val="Tahoma"/>
            <family val="2"/>
          </rPr>
          <t>Equivalent Gallons
Gallons of Diesel Fuel + 15% to cover Oil &amp; Lube</t>
        </r>
      </text>
    </comment>
    <comment ref="F57" authorId="0" shapeId="0" xr:uid="{3622DE62-6EA7-4F78-8B37-3EEDB0AC9487}">
      <text>
        <r>
          <rPr>
            <sz val="8"/>
            <color indexed="81"/>
            <rFont val="Tahoma"/>
            <family val="2"/>
          </rPr>
          <t>Percentage Factor of Total Variable Costs used to cover indirect costs.</t>
        </r>
      </text>
    </comment>
    <comment ref="A81" authorId="0" shapeId="0" xr:uid="{FEB50FF1-0EB3-402B-90D1-EE0CA2D2A9CE}">
      <text>
        <r>
          <rPr>
            <sz val="8"/>
            <color indexed="81"/>
            <rFont val="Tahoma"/>
            <family val="2"/>
          </rPr>
          <t>Estimated Additional time to service tractors and equipment.</t>
        </r>
      </text>
    </comment>
    <comment ref="A86" authorId="0" shapeId="0" xr:uid="{BA928D61-762A-4970-8C17-07F6DD5B4D0C}">
      <text>
        <r>
          <rPr>
            <sz val="8"/>
            <color indexed="81"/>
            <rFont val="Tahoma"/>
            <family val="2"/>
          </rPr>
          <t>Estimated Additional time to service tractors and equipment.</t>
        </r>
      </text>
    </comment>
    <comment ref="F89" authorId="0" shapeId="0" xr:uid="{7B558F14-F439-4728-9D71-94E288B88430}">
      <text>
        <r>
          <rPr>
            <sz val="8"/>
            <color indexed="81"/>
            <rFont val="Tahoma"/>
            <family val="2"/>
          </rPr>
          <t>Initial Fuel Cost used in Calculations.</t>
        </r>
      </text>
    </comment>
    <comment ref="A108" authorId="0" shapeId="0" xr:uid="{A72CD639-351C-47C0-97D0-BA80421FE031}">
      <text>
        <r>
          <rPr>
            <sz val="8"/>
            <color indexed="81"/>
            <rFont val="Tahoma"/>
            <family val="2"/>
          </rPr>
          <t xml:space="preserve">Percent Change of Yield and Price from expected as entered on 1st page.  </t>
        </r>
      </text>
    </comment>
    <comment ref="A112" authorId="0" shapeId="0" xr:uid="{879E4900-E1F2-4D8B-8686-2E57B796AE87}">
      <text>
        <r>
          <rPr>
            <sz val="8"/>
            <color indexed="81"/>
            <rFont val="Tahoma"/>
            <family val="2"/>
          </rPr>
          <t>First letter of chemical type and is required to calculate chemical costs on page 1.</t>
        </r>
      </text>
    </comment>
    <comment ref="D146" authorId="0" shapeId="0" xr:uid="{58D89631-89DA-4EC8-94F4-F3A2A6C67914}">
      <text>
        <r>
          <rPr>
            <b/>
            <sz val="8"/>
            <color indexed="81"/>
            <rFont val="Tahoma"/>
            <family val="2"/>
          </rPr>
          <t>Eric Eberly:</t>
        </r>
        <r>
          <rPr>
            <sz val="8"/>
            <color indexed="81"/>
            <rFont val="Tahoma"/>
            <family val="2"/>
          </rPr>
          <t xml:space="preserve">
Comment Text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White</author>
  </authors>
  <commentList>
    <comment ref="D48" authorId="0" shapeId="0" xr:uid="{234307CC-C838-4079-99DA-D9DF2C3434AC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your Checking Account Balance for January 1.</t>
        </r>
      </text>
    </comment>
    <comment ref="D52" authorId="0" shapeId="0" xr:uid="{07B5D598-C568-4505-8125-FE47F0B71751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minimum cash balance you want to keep on hand or in your checking account.</t>
        </r>
      </text>
    </comment>
    <comment ref="C56" authorId="0" shapeId="0" xr:uid="{65F52684-DA36-47EC-8C03-AA1BE6A11A92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APR for your Operating Line of Credit</t>
        </r>
      </text>
    </comment>
    <comment ref="C58" authorId="0" shapeId="0" xr:uid="{12D4D7C4-2540-451B-A640-814E93C5BD33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outstanding balance of your operating loan as of January 1.</t>
        </r>
      </text>
    </comment>
    <comment ref="C60" authorId="0" shapeId="0" xr:uid="{5C8744C5-FCE2-42C2-B8C9-0045C5651FE2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amount of accrued interest on your operating loan as of January 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White</author>
  </authors>
  <commentList>
    <comment ref="D48" authorId="0" shapeId="0" xr:uid="{455F8D00-BB70-4F53-A5E0-BE8D300A2EDF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your Checking Account Balance for January 1.</t>
        </r>
      </text>
    </comment>
    <comment ref="D52" authorId="0" shapeId="0" xr:uid="{B2A9CEC4-332F-4BF5-92D7-454EDD09CF12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minimum cash balance you want to keep on hand or in your checking account.</t>
        </r>
      </text>
    </comment>
    <comment ref="C56" authorId="0" shapeId="0" xr:uid="{FF38235D-AA5F-4ED6-B283-1584469B0157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APR for your Operating Line of Credit</t>
        </r>
      </text>
    </comment>
    <comment ref="C58" authorId="0" shapeId="0" xr:uid="{286EA0E0-1E1D-43C9-94CB-A9AFBA030CB6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outstanding balance of your operating loan as of January 1.</t>
        </r>
      </text>
    </comment>
    <comment ref="C60" authorId="0" shapeId="0" xr:uid="{D2F3DD5F-4A4B-4F67-B798-7DD338496781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amount of accrued interest on your operating loan as of January 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Eberly</author>
  </authors>
  <commentList>
    <comment ref="A6" authorId="0" shapeId="0" xr:uid="{6E2996DA-ADDF-404D-AC7E-FEC3C6B6D589}">
      <text>
        <r>
          <rPr>
            <b/>
            <sz val="8"/>
            <color indexed="81"/>
            <rFont val="Tahoma"/>
            <family val="2"/>
          </rPr>
          <t>Equal to or less than Total Cows &amp; Heifers in cell E4.</t>
        </r>
      </text>
    </comment>
    <comment ref="A7" authorId="0" shapeId="0" xr:uid="{8FC1B82A-9486-4C94-B8F5-1C36C837E869}">
      <text>
        <r>
          <rPr>
            <sz val="8"/>
            <color indexed="81"/>
            <rFont val="Tahoma"/>
            <family val="2"/>
          </rPr>
          <t xml:space="preserve">Percent of all Cows and Heifers that have left the herd for any reason.
</t>
        </r>
      </text>
    </comment>
    <comment ref="B11" authorId="0" shapeId="0" xr:uid="{4979B677-98E7-408C-98D8-53316EE4B097}">
      <text>
        <r>
          <rPr>
            <b/>
            <sz val="8"/>
            <color indexed="81"/>
            <rFont val="Tahoma"/>
            <family val="2"/>
          </rPr>
          <t xml:space="preserve">Number of Head (Rounded Up)
</t>
        </r>
      </text>
    </comment>
    <comment ref="B12" authorId="0" shapeId="0" xr:uid="{EEC592F3-04C0-4D41-9ED9-F696DC9CF190}">
      <text>
        <r>
          <rPr>
            <b/>
            <sz val="8"/>
            <color indexed="81"/>
            <rFont val="Tahoma"/>
            <family val="2"/>
          </rPr>
          <t xml:space="preserve">Number of Head (Rounded Down)
</t>
        </r>
      </text>
    </comment>
    <comment ref="B13" authorId="0" shapeId="0" xr:uid="{DDF9EBEA-6862-4A4D-8978-E00EB6B684DB}">
      <text>
        <r>
          <rPr>
            <b/>
            <sz val="8"/>
            <color indexed="81"/>
            <rFont val="Tahoma"/>
            <family val="2"/>
          </rPr>
          <t>Number Rounded Up when the fraction of a cow exceeds .25 Head</t>
        </r>
      </text>
    </comment>
    <comment ref="B14" authorId="0" shapeId="0" xr:uid="{384CAE84-001C-49D4-A0BD-02FF8CAE6E14}">
      <text>
        <r>
          <rPr>
            <b/>
            <sz val="8"/>
            <color indexed="81"/>
            <rFont val="Tahoma"/>
            <family val="2"/>
          </rPr>
          <t>33% of Bulls Culled Annually (Rounded Up)</t>
        </r>
      </text>
    </comment>
    <comment ref="B17" authorId="0" shapeId="0" xr:uid="{2CAC6A5A-C77C-4D1B-881A-7E2AEF7EFD0F}">
      <text>
        <r>
          <rPr>
            <b/>
            <sz val="8"/>
            <color indexed="81"/>
            <rFont val="Tahoma"/>
            <family val="2"/>
          </rPr>
          <t>Storage, Handling &amp; Feeding Loss. Your values cound be significantly different.</t>
        </r>
      </text>
    </comment>
    <comment ref="B27" authorId="0" shapeId="0" xr:uid="{9D65CD9A-DDA9-4515-A6E1-8DB4606FA6F3}">
      <text>
        <r>
          <rPr>
            <b/>
            <sz val="8"/>
            <color indexed="81"/>
            <rFont val="Tahoma"/>
            <family val="2"/>
          </rPr>
          <t>Enter your Vet &amp; Medicine Costs if totals on Page 2, Section 10 do not apply.</t>
        </r>
      </text>
    </comment>
    <comment ref="F27" authorId="0" shapeId="0" xr:uid="{8CDBF523-2290-4DBB-8621-38E275E5BB58}">
      <text>
        <r>
          <rPr>
            <b/>
            <sz val="8"/>
            <color indexed="81"/>
            <rFont val="Tahoma"/>
            <family val="2"/>
          </rPr>
          <t>Vet &amp; Medicine totals are from Page 2, Section 10.</t>
        </r>
      </text>
    </comment>
    <comment ref="B33" authorId="0" shapeId="0" xr:uid="{FC4E2AC4-8B5D-4034-986C-6940CC3B44EE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3" authorId="0" shapeId="0" xr:uid="{F0D09D4C-C93C-4F2A-8955-066625DD0140}">
      <text>
        <r>
          <rPr>
            <b/>
            <sz val="8"/>
            <color indexed="81"/>
            <rFont val="Tahoma"/>
            <family val="2"/>
          </rPr>
          <t>Marketing Charge is $3.00 per Head plus 2% of Gross Sale Proceeds.</t>
        </r>
      </text>
    </comment>
    <comment ref="B35" authorId="0" shapeId="0" xr:uid="{44F63B6B-5A46-4053-8B42-BCF2E218C05F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5" authorId="0" shapeId="0" xr:uid="{85375E7A-C3D6-41EB-A762-E4ABE6F06125}">
      <text>
        <r>
          <rPr>
            <b/>
            <sz val="8"/>
            <color indexed="81"/>
            <rFont val="Tahoma"/>
            <family val="2"/>
          </rPr>
          <t>Marketing Charge is $3.50 per Head plus 2% of Gross Sale Proceeds.</t>
        </r>
      </text>
    </comment>
    <comment ref="F40" authorId="0" shapeId="0" xr:uid="{320A5E38-AC7E-4976-9324-1A52616B72D4}">
      <text>
        <r>
          <rPr>
            <b/>
            <sz val="8"/>
            <color indexed="81"/>
            <rFont val="Tahoma"/>
            <family val="2"/>
          </rPr>
          <t>Add FICA and other employer paid taxes to hourly wage.</t>
        </r>
      </text>
    </comment>
    <comment ref="H41" authorId="0" shapeId="0" xr:uid="{DE34531D-F32B-462C-99B2-EFC36540272F}">
      <text>
        <r>
          <rPr>
            <b/>
            <sz val="8"/>
            <color indexed="81"/>
            <rFont val="Tahoma"/>
            <family val="2"/>
          </rPr>
          <t>Total Variable Cost - Hauling &amp; Marketing Expense.</t>
        </r>
      </text>
    </comment>
    <comment ref="D68" authorId="0" shapeId="0" xr:uid="{CABD3AF4-0E40-4260-B841-C52BE53FD937}">
      <text>
        <r>
          <rPr>
            <b/>
            <sz val="8"/>
            <color indexed="81"/>
            <rFont val="Tahoma"/>
            <family val="2"/>
          </rPr>
          <t>Pregancy Checked Cows or 100% of Cow Herd</t>
        </r>
      </text>
    </comment>
    <comment ref="E68" authorId="0" shapeId="0" xr:uid="{DD60994A-0EDB-4898-B308-17711F122904}">
      <text>
        <r>
          <rPr>
            <b/>
            <sz val="8"/>
            <color indexed="81"/>
            <rFont val="Tahoma"/>
            <family val="2"/>
          </rPr>
          <t>Rounded Up at .25 Head</t>
        </r>
      </text>
    </comment>
    <comment ref="F68" authorId="0" shapeId="0" xr:uid="{3EC601F6-F124-4DC1-B83C-F3048D35935F}">
      <text>
        <r>
          <rPr>
            <b/>
            <sz val="8"/>
            <color indexed="81"/>
            <rFont val="Tahoma"/>
            <family val="2"/>
          </rPr>
          <t>Rounded Up at .25 Head.</t>
        </r>
      </text>
    </comment>
    <comment ref="G68" authorId="0" shapeId="0" xr:uid="{435BE921-028D-4E27-AC9C-EFB85D696F2F}">
      <text>
        <r>
          <rPr>
            <b/>
            <sz val="8"/>
            <color indexed="81"/>
            <rFont val="Tahoma"/>
            <family val="2"/>
          </rPr>
          <t>Rounded Up at .25 Head</t>
        </r>
      </text>
    </comment>
    <comment ref="H68" authorId="0" shapeId="0" xr:uid="{C123DAEC-58CF-40FC-BFC6-8E9B770FE378}">
      <text>
        <r>
          <rPr>
            <b/>
            <sz val="8"/>
            <color indexed="81"/>
            <rFont val="Tahoma"/>
            <family val="2"/>
          </rPr>
          <t>Rounded Up at .25 Head.</t>
        </r>
      </text>
    </comment>
    <comment ref="C70" authorId="0" shapeId="0" xr:uid="{8B03EFFA-3D0E-4C76-BF57-F8515613534A}">
      <text>
        <r>
          <rPr>
            <b/>
            <sz val="8"/>
            <color indexed="81"/>
            <rFont val="Tahoma"/>
            <family val="2"/>
          </rPr>
          <t>Enter Weight of feed unit in Column C if purchased by the Bushel or CWT.</t>
        </r>
      </text>
    </comment>
    <comment ref="A71" authorId="0" shapeId="0" xr:uid="{752636AB-0B5D-4334-AB0A-7C47B14E9259}">
      <text>
        <r>
          <rPr>
            <b/>
            <sz val="8"/>
            <color indexed="81"/>
            <rFont val="Tahoma"/>
            <family val="2"/>
          </rPr>
          <t>Corn Silage Analysis
DM   35%
CP    8.5%
TDN 69%</t>
        </r>
      </text>
    </comment>
    <comment ref="A72" authorId="0" shapeId="0" xr:uid="{BB8775E4-57ED-4D03-9AD1-CA1D8638C5C7}">
      <text>
        <r>
          <rPr>
            <b/>
            <sz val="8"/>
            <color indexed="81"/>
            <rFont val="Tahoma"/>
            <family val="2"/>
          </rPr>
          <t>Alfalfa Hay Analysis
DM  91%
CP   17%
TDN 55%</t>
        </r>
      </text>
    </comment>
    <comment ref="A73" authorId="0" shapeId="0" xr:uid="{C17B323D-C305-4126-9023-C2F19268EF6E}">
      <text>
        <r>
          <rPr>
            <b/>
            <sz val="8"/>
            <color indexed="81"/>
            <rFont val="Tahoma"/>
            <family val="2"/>
          </rPr>
          <t>Mixed Hay Analysis
DM  89%
CP  12.8%
TDN 65%</t>
        </r>
      </text>
    </comment>
    <comment ref="A74" authorId="0" shapeId="0" xr:uid="{DEC1FEE5-2227-4F61-9FD7-999E11FE762E}">
      <text>
        <r>
          <rPr>
            <b/>
            <sz val="8"/>
            <color indexed="81"/>
            <rFont val="Tahoma"/>
            <family val="2"/>
          </rPr>
          <t>Grass Hay Analysis
DM   91%
CP 10.5%
TDN  54%</t>
        </r>
      </text>
    </comment>
    <comment ref="D87" authorId="0" shapeId="0" xr:uid="{DDC34593-6172-496D-B744-08DD8DDC3318}">
      <text>
        <r>
          <rPr>
            <b/>
            <sz val="8"/>
            <color indexed="81"/>
            <rFont val="Tahoma"/>
            <family val="2"/>
          </rPr>
          <t>BQA = Beef Quality Assured</t>
        </r>
      </text>
    </comment>
    <comment ref="D88" authorId="0" shapeId="0" xr:uid="{78DCDC1D-0338-4B99-9EF5-B40A877BCC64}">
      <text>
        <r>
          <rPr>
            <b/>
            <sz val="8"/>
            <color indexed="81"/>
            <rFont val="Tahoma"/>
            <family val="2"/>
          </rPr>
          <t>Rounded Up at .25 Head.</t>
        </r>
      </text>
    </comment>
    <comment ref="D90" authorId="0" shapeId="0" xr:uid="{BDC95E0C-230C-4ACB-B06F-D3419C477EC9}">
      <text>
        <r>
          <rPr>
            <sz val="8"/>
            <color indexed="81"/>
            <rFont val="Tahoma"/>
            <family val="2"/>
          </rPr>
          <t xml:space="preserve">Research at Virginia Tech has shown that de-worming mature cows is not a cost effective practice.
</t>
        </r>
      </text>
    </comment>
    <comment ref="D91" authorId="0" shapeId="0" xr:uid="{9DE3A80A-906C-4627-9669-353EF3C3EA38}">
      <text>
        <r>
          <rPr>
            <b/>
            <sz val="8"/>
            <color indexed="81"/>
            <rFont val="Tahoma"/>
            <family val="2"/>
          </rPr>
          <t>Dosage: 3 ml. per 100 lbs.
Do not exceed 30 ml per head</t>
        </r>
      </text>
    </comment>
    <comment ref="F94" authorId="0" shapeId="0" xr:uid="{DE5C8FC6-DF05-4EC5-AC90-01AECC2FCDE7}">
      <text>
        <r>
          <rPr>
            <b/>
            <sz val="8"/>
            <color indexed="81"/>
            <rFont val="Tahoma"/>
            <family val="2"/>
          </rPr>
          <t>GnRH system using Contracted Technicians</t>
        </r>
      </text>
    </comment>
    <comment ref="F95" authorId="0" shapeId="0" xr:uid="{EE13CA61-0EB0-42F0-A5AE-D4F36819159B}">
      <text>
        <r>
          <rPr>
            <sz val="8"/>
            <color indexed="81"/>
            <rFont val="Tahoma"/>
            <family val="2"/>
          </rPr>
          <t>Average Cost to Pregnancy Check 100 Cows at 1 time.</t>
        </r>
      </text>
    </comment>
    <comment ref="A97" authorId="0" shapeId="0" xr:uid="{3D1DAE50-8205-4052-929D-AC30680E301E}">
      <text>
        <r>
          <rPr>
            <b/>
            <sz val="8"/>
            <color indexed="81"/>
            <rFont val="Tahoma"/>
            <family val="2"/>
          </rPr>
          <t>Rounded Up at .25 Head.</t>
        </r>
      </text>
    </comment>
    <comment ref="D98" authorId="0" shapeId="0" xr:uid="{8894FB7C-E52D-454F-8CD3-D537A15881E7}">
      <text>
        <r>
          <rPr>
            <b/>
            <sz val="8"/>
            <color indexed="81"/>
            <rFont val="Tahoma"/>
            <family val="2"/>
          </rPr>
          <t>Follow label requirements.</t>
        </r>
      </text>
    </comment>
    <comment ref="A106" authorId="0" shapeId="0" xr:uid="{78FB524E-B957-45A4-B6FF-F27C7D3B1311}">
      <text>
        <r>
          <rPr>
            <b/>
            <sz val="8"/>
            <color indexed="81"/>
            <rFont val="Tahoma"/>
            <family val="2"/>
          </rPr>
          <t>Given between 4 and 12 months of age.</t>
        </r>
      </text>
    </comment>
    <comment ref="F114" authorId="0" shapeId="0" xr:uid="{42752B45-D395-4A4E-BBA6-A17F9804588C}">
      <text>
        <r>
          <rPr>
            <b/>
            <sz val="8"/>
            <color indexed="81"/>
            <rFont val="Tahoma"/>
            <family val="2"/>
          </rPr>
          <t>GnRH system using Contracted Technicians</t>
        </r>
      </text>
    </comment>
    <comment ref="F115" authorId="0" shapeId="0" xr:uid="{7F148343-45D0-4962-B018-1422C9D323B3}">
      <text>
        <r>
          <rPr>
            <sz val="8"/>
            <color indexed="81"/>
            <rFont val="Tahoma"/>
            <family val="2"/>
          </rPr>
          <t>Average Cost to Pregnancy Check 100 Cows at 1 time.</t>
        </r>
      </text>
    </comment>
  </commentList>
</comments>
</file>

<file path=xl/sharedStrings.xml><?xml version="1.0" encoding="utf-8"?>
<sst xmlns="http://schemas.openxmlformats.org/spreadsheetml/2006/main" count="1616" uniqueCount="777">
  <si>
    <t>Income Statement</t>
  </si>
  <si>
    <t>Big Al's Bees</t>
  </si>
  <si>
    <t>Revenues:</t>
  </si>
  <si>
    <t>Honey</t>
  </si>
  <si>
    <t xml:space="preserve"> lbs. @</t>
  </si>
  <si>
    <t>/lb</t>
  </si>
  <si>
    <t>Wax products</t>
  </si>
  <si>
    <t>units @</t>
  </si>
  <si>
    <t>/unit</t>
  </si>
  <si>
    <t>Other</t>
  </si>
  <si>
    <t xml:space="preserve">  Total Revenues</t>
  </si>
  <si>
    <t>Cost of Goods Sold:</t>
  </si>
  <si>
    <t>Packaging &amp; Containers</t>
  </si>
  <si>
    <t xml:space="preserve">  Total Cost of Goods Sold</t>
  </si>
  <si>
    <t>Gross Margin</t>
  </si>
  <si>
    <t xml:space="preserve">  (Total Revenues - Total Cost of Goods Sold)</t>
  </si>
  <si>
    <t>Expenses:</t>
  </si>
  <si>
    <t>Legal</t>
  </si>
  <si>
    <t>Accounting</t>
  </si>
  <si>
    <t>Advertising/Marketing</t>
  </si>
  <si>
    <t>Office Supplies</t>
  </si>
  <si>
    <t>Repairs</t>
  </si>
  <si>
    <t>Property Taxes</t>
  </si>
  <si>
    <t>Labor</t>
  </si>
  <si>
    <t>Insurance</t>
  </si>
  <si>
    <t>Gas/Fuel - hauling</t>
  </si>
  <si>
    <t>Depreciation (a non-cash expense)</t>
  </si>
  <si>
    <t>of assets @</t>
  </si>
  <si>
    <t>Interest on loans</t>
  </si>
  <si>
    <t>of loans @</t>
  </si>
  <si>
    <t>Miscellaneous</t>
  </si>
  <si>
    <t>"Fudge Factor"</t>
  </si>
  <si>
    <t xml:space="preserve">  Subtotal</t>
  </si>
  <si>
    <t>Total Expenses (COGS + Subtotal of All Other Expenses)</t>
  </si>
  <si>
    <t>Earnings Before Taxes</t>
  </si>
  <si>
    <t xml:space="preserve">Income Taxes </t>
  </si>
  <si>
    <t>Income Tax Bracket</t>
  </si>
  <si>
    <t>Net After-Tax Income</t>
  </si>
  <si>
    <t>Minimum Pounds of Honey Sold Needed to Cover Total Expenses</t>
  </si>
  <si>
    <t>lbs/year</t>
  </si>
  <si>
    <t xml:space="preserve">  (not including Income Taxes)</t>
  </si>
  <si>
    <t>Minimum Honey Price Needed to Cover Total Expenses</t>
  </si>
  <si>
    <t xml:space="preserve">PUBLICATION 446-048  </t>
  </si>
  <si>
    <t/>
  </si>
  <si>
    <t>Beef Cows Spring Calving - Hay Ration</t>
  </si>
  <si>
    <t>COWS &amp; BRED HEIFERS</t>
  </si>
  <si>
    <t>% CONCEPTION RATE</t>
  </si>
  <si>
    <t>% WEANED CALVES PER COW EXPOSED</t>
  </si>
  <si>
    <t>COWS PER BULL</t>
  </si>
  <si>
    <t>% of Heifers Weaned Kept as Replacements</t>
  </si>
  <si>
    <t>% ANNUAL CULLING RATE</t>
  </si>
  <si>
    <t>% ANNUAL COW DEATH LOSS</t>
  </si>
  <si>
    <t>ITEM</t>
  </si>
  <si>
    <t>HEAD</t>
  </si>
  <si>
    <t>CWT</t>
  </si>
  <si>
    <t>UNIT</t>
  </si>
  <si>
    <t>PRICE</t>
  </si>
  <si>
    <t>QUANTITY</t>
  </si>
  <si>
    <t>TOTAL</t>
  </si>
  <si>
    <t>Your Farm</t>
  </si>
  <si>
    <t>1. GROSS RECEIPTS</t>
  </si>
  <si>
    <t xml:space="preserve"> Steers </t>
  </si>
  <si>
    <t>@</t>
  </si>
  <si>
    <t>Cwt</t>
  </si>
  <si>
    <t xml:space="preserve"> __________</t>
  </si>
  <si>
    <t xml:space="preserve"> Heifers</t>
  </si>
  <si>
    <t xml:space="preserve"> Cull Cows &amp; Heifers</t>
  </si>
  <si>
    <t xml:space="preserve"> Cull Bull </t>
  </si>
  <si>
    <t>2. TOTAL GROSS RECEIPTS</t>
  </si>
  <si>
    <t>Per Cow</t>
  </si>
  <si>
    <t>3. VARIABLE COSTS</t>
  </si>
  <si>
    <t>Feed Loss</t>
  </si>
  <si>
    <t xml:space="preserve"> Grinding &amp; Mixing</t>
  </si>
  <si>
    <t xml:space="preserve"> Salt &amp; Mineral</t>
  </si>
  <si>
    <t>Lbs per Cow</t>
  </si>
  <si>
    <t xml:space="preserve"> Vet &amp; Medicine</t>
  </si>
  <si>
    <t>$/Head</t>
  </si>
  <si>
    <t>Head</t>
  </si>
  <si>
    <t xml:space="preserve"> Supplies</t>
  </si>
  <si>
    <t xml:space="preserve"> Replacement Bull</t>
  </si>
  <si>
    <t xml:space="preserve"> Stockpiled Pasture</t>
  </si>
  <si>
    <t>Acres per Cow</t>
  </si>
  <si>
    <t>Acre</t>
  </si>
  <si>
    <t xml:space="preserve"> Pasture</t>
  </si>
  <si>
    <t xml:space="preserve"> Haul Cull Cattle</t>
  </si>
  <si>
    <t xml:space="preserve"> Market Cull Cattle</t>
  </si>
  <si>
    <t xml:space="preserve"> Haul Calves</t>
  </si>
  <si>
    <t xml:space="preserve"> Market Calves</t>
  </si>
  <si>
    <t xml:space="preserve"> Building &amp; Fence Repairs</t>
  </si>
  <si>
    <t xml:space="preserve"> Utilities</t>
  </si>
  <si>
    <t xml:space="preserve"> Other,(insurance etc.)</t>
  </si>
  <si>
    <t xml:space="preserve"> Machinery (Non-Crop)</t>
  </si>
  <si>
    <t xml:space="preserve"> Labor</t>
  </si>
  <si>
    <t>Hours per Cow</t>
  </si>
  <si>
    <t>Hours</t>
  </si>
  <si>
    <t xml:space="preserve"> Operating Interest</t>
  </si>
  <si>
    <t>Months</t>
  </si>
  <si>
    <t>Dollars</t>
  </si>
  <si>
    <t>4. TOTAL VARIABLE COSTS</t>
  </si>
  <si>
    <t>5. ANNUAL FIXED COSTS (DITIS)</t>
  </si>
  <si>
    <t>6. PROJECTED NET RETURN TO EQUITY, MANAGEMENT, &amp; FAMILY LABOR</t>
  </si>
  <si>
    <t>7. Price Sensitivity Analysis</t>
  </si>
  <si>
    <t>Percent Change in Total Gross Receipts</t>
  </si>
  <si>
    <t>--- Net Cash Return over Total Variable Costs per Cow ---</t>
  </si>
  <si>
    <t>Percent</t>
  </si>
  <si>
    <t>Change in</t>
  </si>
  <si>
    <t>Total Variable</t>
  </si>
  <si>
    <t>Costs</t>
  </si>
  <si>
    <t>Table Sensitivity</t>
  </si>
  <si>
    <t>Developed by Virginia Cooperative Extension Farm Business Management Staff</t>
  </si>
  <si>
    <t>Page 2</t>
  </si>
  <si>
    <t>8. FEED RATIONS (AS-FED BASIS)</t>
  </si>
  <si>
    <t>Yearling</t>
  </si>
  <si>
    <r>
      <t>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Calf</t>
    </r>
  </si>
  <si>
    <t>Additional</t>
  </si>
  <si>
    <t xml:space="preserve"> </t>
  </si>
  <si>
    <t>Cows</t>
  </si>
  <si>
    <t>Bulls</t>
  </si>
  <si>
    <t>Calves</t>
  </si>
  <si>
    <t>Heifers</t>
  </si>
  <si>
    <t>Total</t>
  </si>
  <si>
    <t>Number Head =</t>
  </si>
  <si>
    <t>Quantity</t>
  </si>
  <si>
    <t xml:space="preserve"> Feed</t>
  </si>
  <si>
    <t>Days Fed =</t>
  </si>
  <si>
    <t>(Tons)</t>
  </si>
  <si>
    <t>Unit</t>
  </si>
  <si>
    <t xml:space="preserve"> Corn Silage</t>
  </si>
  <si>
    <t>Lbs/Head/Day</t>
  </si>
  <si>
    <t xml:space="preserve"> Alfalfa Hay, Bloom</t>
  </si>
  <si>
    <t xml:space="preserve"> Mixed Hay, 2nd Cutting</t>
  </si>
  <si>
    <t xml:space="preserve"> Grass Hay, Average</t>
  </si>
  <si>
    <t xml:space="preserve"> Corn Grain</t>
  </si>
  <si>
    <t xml:space="preserve"> SBOM 48%</t>
  </si>
  <si>
    <t xml:space="preserve"> Other Feed</t>
  </si>
  <si>
    <t xml:space="preserve"> 9. ANNUAL DEBT SERVICE</t>
  </si>
  <si>
    <t>Amount</t>
  </si>
  <si>
    <t>Length</t>
  </si>
  <si>
    <t>Annual</t>
  </si>
  <si>
    <t xml:space="preserve">  Item</t>
  </si>
  <si>
    <t>Borrowed</t>
  </si>
  <si>
    <t>Interest</t>
  </si>
  <si>
    <t>of Loan</t>
  </si>
  <si>
    <t>to Beef</t>
  </si>
  <si>
    <t>Payment</t>
  </si>
  <si>
    <t xml:space="preserve"> Item Name</t>
  </si>
  <si>
    <t xml:space="preserve">       TOTAL ANNUAL DEBT PAYMENTS</t>
  </si>
  <si>
    <t xml:space="preserve"> 10. ANIMAL HEALTH PROGRAM</t>
  </si>
  <si>
    <t xml:space="preserve"> (BQA)</t>
  </si>
  <si>
    <t>COWS</t>
  </si>
  <si>
    <t>BULLS</t>
  </si>
  <si>
    <t>Fly Tags</t>
  </si>
  <si>
    <t>Tags  @</t>
  </si>
  <si>
    <t>/Each</t>
  </si>
  <si>
    <t>Pour-on De-wormer</t>
  </si>
  <si>
    <t>Lbs</t>
  </si>
  <si>
    <t>ml./100 lbs</t>
  </si>
  <si>
    <t>/Liter</t>
  </si>
  <si>
    <t>Pour-on De-licer</t>
  </si>
  <si>
    <t>Clostridium Diseases</t>
  </si>
  <si>
    <t>Dose @</t>
  </si>
  <si>
    <t>/Dose</t>
  </si>
  <si>
    <t>IBR PI3 BVD BRSV + Lepto + Vibrio</t>
  </si>
  <si>
    <t>Estrus Syncronization / AI</t>
  </si>
  <si>
    <t>AI Breeding</t>
  </si>
  <si>
    <t>/Head</t>
  </si>
  <si>
    <t>Pregnancy Check</t>
  </si>
  <si>
    <t>Checks @</t>
  </si>
  <si>
    <t>SUB-TOTAL COWS &amp; BULLS</t>
  </si>
  <si>
    <t>CALVES</t>
  </si>
  <si>
    <t>Clostridium Diseases + Pasteurella</t>
  </si>
  <si>
    <t>IBR PI3 BVD BRSV + Lepto</t>
  </si>
  <si>
    <t>Selenium</t>
  </si>
  <si>
    <t>Implant Steers</t>
  </si>
  <si>
    <t>Implants  @</t>
  </si>
  <si>
    <t>/ Implant</t>
  </si>
  <si>
    <t>SUB-TOTAL CALVES</t>
  </si>
  <si>
    <t>REPLACEMENT HEIFERS</t>
  </si>
  <si>
    <t>Bangs Vaccination (RB-51)</t>
  </si>
  <si>
    <t>SUB-TOTAL REPLACEMENT HEIFERS</t>
  </si>
  <si>
    <t>FIRST CALF HEIFERS</t>
  </si>
  <si>
    <t xml:space="preserve">  All other costs included with cows.</t>
  </si>
  <si>
    <t>SUB-TOTAL FIRST CALF HEIFERS</t>
  </si>
  <si>
    <t>Your Farm Veterinarian</t>
  </si>
  <si>
    <t>Trip(s) @</t>
  </si>
  <si>
    <t>Per Trip</t>
  </si>
  <si>
    <t>.</t>
  </si>
  <si>
    <t>( Includes Breeding Soundness Exam on Bulls )</t>
  </si>
  <si>
    <t>TOTAL HEALTH COST FOR HERD =</t>
  </si>
  <si>
    <t>Trade and brand names are used only for the purpose of providing information.  Virginia Cooperative Extension does not guarantee or warrant</t>
  </si>
  <si>
    <t>the standard of any product named to the exclusion of others which also may be suitable.</t>
  </si>
  <si>
    <t>PUBLICATION 446-047-131</t>
  </si>
  <si>
    <t>SOYBEANS-RR, Minimum Tillage (Productivity Group 1-2 Soils)</t>
  </si>
  <si>
    <t>ESTIMATED COSTS AND RETURNS PER ACRE</t>
  </si>
  <si>
    <t>Acres</t>
  </si>
  <si>
    <t>BUSHEL YIELD</t>
  </si>
  <si>
    <t xml:space="preserve"> PRICE OR</t>
  </si>
  <si>
    <t>YOUR</t>
  </si>
  <si>
    <t>PER ACRE</t>
  </si>
  <si>
    <t>COST/UNIT</t>
  </si>
  <si>
    <t>FARM</t>
  </si>
  <si>
    <t>SOYBEANS</t>
  </si>
  <si>
    <t>BU.</t>
  </si>
  <si>
    <t>TOTAL RECEIPTS:</t>
  </si>
  <si>
    <t>2. PRE-HARVEST VARIABLE COSTS</t>
  </si>
  <si>
    <t xml:space="preserve">  SEED: SOYBEANS</t>
  </si>
  <si>
    <t>BAG</t>
  </si>
  <si>
    <t xml:space="preserve">  FERTILIZER* </t>
  </si>
  <si>
    <t>Soil Test Recommendation</t>
  </si>
  <si>
    <t xml:space="preserve">    NITROGEN</t>
  </si>
  <si>
    <t>LBS</t>
  </si>
  <si>
    <t xml:space="preserve">    PHOSPHATE</t>
  </si>
  <si>
    <t xml:space="preserve">    POTASH</t>
  </si>
  <si>
    <t xml:space="preserve">  FERTILIZER APPLICATION</t>
  </si>
  <si>
    <t>ACRE</t>
  </si>
  <si>
    <t xml:space="preserve">  LIME (PRORATED)</t>
  </si>
  <si>
    <t>TON</t>
  </si>
  <si>
    <t xml:space="preserve">  HERBICIDES</t>
  </si>
  <si>
    <t xml:space="preserve">  INSECTICIDES</t>
  </si>
  <si>
    <t xml:space="preserve">  FUNGICIDES</t>
  </si>
  <si>
    <t xml:space="preserve">  GROWTH REGULATOR</t>
  </si>
  <si>
    <t xml:space="preserve">  CHEMICAL APPLICATION</t>
  </si>
  <si>
    <t xml:space="preserve">  FUEL,OIL, LUBE</t>
  </si>
  <si>
    <t>Eq Gallons</t>
  </si>
  <si>
    <t xml:space="preserve">  REPAIRS</t>
  </si>
  <si>
    <t xml:space="preserve">  PRE-HARVEST LABOR</t>
  </si>
  <si>
    <t>HRS</t>
  </si>
  <si>
    <t xml:space="preserve">  CASH RENT OR LAND CHARGE</t>
  </si>
  <si>
    <t xml:space="preserve">  CROP INSURANCE</t>
  </si>
  <si>
    <t xml:space="preserve">  SCOUTING</t>
  </si>
  <si>
    <t xml:space="preserve">  OTHER COSTS</t>
  </si>
  <si>
    <t xml:space="preserve">  PRODUCTION INTEREST</t>
  </si>
  <si>
    <t>MONTHS</t>
  </si>
  <si>
    <t>TOTAL PRE-HARVEST COSTS</t>
  </si>
  <si>
    <t>PER BU.</t>
  </si>
  <si>
    <t>3. HARVEST VARIABLE COSTS</t>
  </si>
  <si>
    <t xml:space="preserve">  HARVEST LABOR</t>
  </si>
  <si>
    <t xml:space="preserve">  HAULING</t>
  </si>
  <si>
    <t xml:space="preserve">  STORAGE</t>
  </si>
  <si>
    <t xml:space="preserve">  DRYING</t>
  </si>
  <si>
    <t>TOTAL HARVEST COSTS:</t>
  </si>
  <si>
    <t>Breakeven Yield</t>
  </si>
  <si>
    <t>Breakeven Price</t>
  </si>
  <si>
    <t>5. RETURN OVER TOTAL VARIABLE COSTS</t>
  </si>
  <si>
    <t>6. MACHINERY FIXED COSTS (BASED ON NEW EQUIPMENT COST)</t>
  </si>
  <si>
    <t xml:space="preserve"> TRACTOR &amp; MACHINERY</t>
  </si>
  <si>
    <t>7. OTHER FIXED COSTS</t>
  </si>
  <si>
    <t>GENERAL OVERHEAD</t>
  </si>
  <si>
    <t>DOL.</t>
  </si>
  <si>
    <t>8. TOTAL FIXED COSTS:</t>
  </si>
  <si>
    <t>9. TOTAL VARIABLE &amp; FIXED COSTS</t>
  </si>
  <si>
    <t>10. PROJECTED NET RETURNS TO LAND, RISK AND MANAGEMENT:</t>
  </si>
  <si>
    <t>* This BUDGET is for PLANNING PURPOSES ONLY. Fertilizer rates are based on projected nutrient removal of harvested crop.</t>
  </si>
  <si>
    <t>* Fertilizer requirements will vary with application method, manure use and/or residual nutrient levels in the soil.</t>
  </si>
  <si>
    <t>PER ACRE MACHINERY AND LABOR REQUIREMENTS</t>
  </si>
  <si>
    <t>MONTH</t>
  </si>
  <si>
    <t xml:space="preserve">   OPERATION </t>
  </si>
  <si>
    <t>Times</t>
  </si>
  <si>
    <t xml:space="preserve"> LABOR</t>
  </si>
  <si>
    <t>MACHINE</t>
  </si>
  <si>
    <t>FUEL, OIL,</t>
  </si>
  <si>
    <t>REPAIR</t>
  </si>
  <si>
    <t xml:space="preserve">  FIXED</t>
  </si>
  <si>
    <t>OVER</t>
  </si>
  <si>
    <t xml:space="preserve"> HOURS</t>
  </si>
  <si>
    <t>&amp; LUBE</t>
  </si>
  <si>
    <t>COSTS</t>
  </si>
  <si>
    <t>PRE-HARVEST</t>
  </si>
  <si>
    <t>May</t>
  </si>
  <si>
    <t>100HP + Planter 6-Row</t>
  </si>
  <si>
    <t>75HP + Boom Sprayer - 30FT</t>
  </si>
  <si>
    <t>June</t>
  </si>
  <si>
    <t>August</t>
  </si>
  <si>
    <t>UNALLOCATED LABOR(HRS./AC.)</t>
  </si>
  <si>
    <t>SUB-TOTAL PRE-HARVEST</t>
  </si>
  <si>
    <t>HARVEST</t>
  </si>
  <si>
    <t>October</t>
  </si>
  <si>
    <t>Combine + Grain Table 15 FT</t>
  </si>
  <si>
    <t>SUB-TOTAL HARVEST</t>
  </si>
  <si>
    <t>Fuel</t>
  </si>
  <si>
    <t xml:space="preserve">                         INCOME ABOVE VARIABLE COSTS AT DIFFERING YIELDS AND PRICES</t>
  </si>
  <si>
    <t>FARM PRICE ($/bu.)</t>
  </si>
  <si>
    <t>YIELD</t>
  </si>
  <si>
    <t>TOTAL VARIABLE COSTS</t>
  </si>
  <si>
    <t>COST/ACRE</t>
  </si>
  <si>
    <t>CHEMICAL USE ASSUMPTIONS</t>
  </si>
  <si>
    <t>TYPE</t>
  </si>
  <si>
    <t>Trade Name</t>
  </si>
  <si>
    <t>H</t>
  </si>
  <si>
    <t>Roundup or other formulations</t>
  </si>
  <si>
    <t>QT</t>
  </si>
  <si>
    <t xml:space="preserve">May </t>
  </si>
  <si>
    <t xml:space="preserve">June </t>
  </si>
  <si>
    <t>I</t>
  </si>
  <si>
    <t>Asana XL</t>
  </si>
  <si>
    <t>OZ</t>
  </si>
  <si>
    <t xml:space="preserve">August </t>
  </si>
  <si>
    <t>Notes</t>
  </si>
  <si>
    <t>Chemical Type: H = Herbicide; I = Insecticide; F = Fungicide; G = Growth Regulator</t>
  </si>
  <si>
    <t>Cells with comments are identified by</t>
  </si>
  <si>
    <t>Herbicide</t>
  </si>
  <si>
    <t>Insecticide</t>
  </si>
  <si>
    <t>F</t>
  </si>
  <si>
    <t>Fungicide</t>
  </si>
  <si>
    <t>D</t>
  </si>
  <si>
    <t>Defoliant</t>
  </si>
  <si>
    <t>X</t>
  </si>
  <si>
    <t>Fumigant</t>
  </si>
  <si>
    <t>G</t>
  </si>
  <si>
    <t>Growth Regulator</t>
  </si>
  <si>
    <t>A</t>
  </si>
  <si>
    <t>Adjuvants</t>
  </si>
  <si>
    <t>S</t>
  </si>
  <si>
    <t>Sucker Control</t>
  </si>
  <si>
    <t>Cell</t>
  </si>
  <si>
    <t>Comment</t>
  </si>
  <si>
    <t>Reference</t>
  </si>
  <si>
    <t>H5</t>
  </si>
  <si>
    <t>This Column calculates totals per crop based on the number of acres entered here.</t>
  </si>
  <si>
    <t>E10</t>
  </si>
  <si>
    <t>Enter your expected yield based on yield history of field / farm and soil type.</t>
  </si>
  <si>
    <t>F10</t>
  </si>
  <si>
    <t>Enter your expected market price.</t>
  </si>
  <si>
    <t>C18</t>
  </si>
  <si>
    <t>Nitrogen: Soil Test Recommendation or Actual Amount Applied</t>
  </si>
  <si>
    <t>E18</t>
  </si>
  <si>
    <t>Projected N removal based on yield goal</t>
  </si>
  <si>
    <t>C19</t>
  </si>
  <si>
    <t>Phosphorus: Soil Test Recommendation or Actual Amount Applied</t>
  </si>
  <si>
    <t>E19</t>
  </si>
  <si>
    <t>Projected P removal based on yield goal</t>
  </si>
  <si>
    <t>C20</t>
  </si>
  <si>
    <t>Potash: Soil Test Recommendation or Actual Amount Applied</t>
  </si>
  <si>
    <t>E20</t>
  </si>
  <si>
    <t>Projected K removal based on yield goal</t>
  </si>
  <si>
    <t>E22</t>
  </si>
  <si>
    <t>Projected lime needs if calculated on an annual basis</t>
  </si>
  <si>
    <t>D27</t>
  </si>
  <si>
    <t>Equivalent Gallons (Gallons of Fuel + 15% to cover oil &amp; lube cost)</t>
  </si>
  <si>
    <t>E35</t>
  </si>
  <si>
    <t>Assumes that interest is charged on ALL pre-harvest expenses. Amount displayed is pre-harvest expense times Months/12.</t>
  </si>
  <si>
    <t>D40</t>
  </si>
  <si>
    <t>F56</t>
  </si>
  <si>
    <t>Percentage Factor of Total Variable Costs. This is a “catch-all” cost that includes telephone, utilities and contingencies.</t>
  </si>
  <si>
    <t>A79</t>
  </si>
  <si>
    <t>Projected percent increase in labor for unforseen activities.</t>
  </si>
  <si>
    <t>A84</t>
  </si>
  <si>
    <t>A106</t>
  </si>
  <si>
    <t>Percent Change of Yield and Price from expected to customize Income Above Variable Costs table sensativitity analysis.</t>
  </si>
  <si>
    <t>A110</t>
  </si>
  <si>
    <t>Ist Character of chemical type from a defined list (A152:B160)</t>
  </si>
  <si>
    <t>Revenues</t>
  </si>
  <si>
    <t>Total Revenues</t>
  </si>
  <si>
    <t>Hired Labor</t>
  </si>
  <si>
    <t>months</t>
  </si>
  <si>
    <t>Marketing</t>
  </si>
  <si>
    <t>Doc White's Handy-Dandy Financial Ratio Calculator</t>
  </si>
  <si>
    <t>Balance Sheet Information</t>
  </si>
  <si>
    <t>Year 1</t>
  </si>
  <si>
    <t>Year 2</t>
  </si>
  <si>
    <t>Financial Ratios</t>
  </si>
  <si>
    <t>Current Assets</t>
  </si>
  <si>
    <t>Liquidity</t>
  </si>
  <si>
    <t>Green</t>
  </si>
  <si>
    <t>Yellow</t>
  </si>
  <si>
    <t>Red</t>
  </si>
  <si>
    <t>Total Assets</t>
  </si>
  <si>
    <t>Current Ratio</t>
  </si>
  <si>
    <t>Current Liabilities</t>
  </si>
  <si>
    <t>Working Capital / Expenses</t>
  </si>
  <si>
    <t>Total Liabilities</t>
  </si>
  <si>
    <t>Solvency</t>
  </si>
  <si>
    <t>Equity (Net Worth)</t>
  </si>
  <si>
    <t>Equity /Asset Ratio</t>
  </si>
  <si>
    <t>Repayment Ability</t>
  </si>
  <si>
    <t>Income Statement Information:</t>
  </si>
  <si>
    <t>Debt Coverage Ratio</t>
  </si>
  <si>
    <t xml:space="preserve">Total Revenues </t>
  </si>
  <si>
    <t>Term Debt / EBITDA</t>
  </si>
  <si>
    <t>Total Expenses</t>
  </si>
  <si>
    <t>Profitability</t>
  </si>
  <si>
    <t>Interest Expense</t>
  </si>
  <si>
    <t>Rate of Return on Assets (ROA)</t>
  </si>
  <si>
    <t>Depreciation Expense</t>
  </si>
  <si>
    <t>Financial Efficiency</t>
  </si>
  <si>
    <t xml:space="preserve">Net Farm Income </t>
  </si>
  <si>
    <t>Operating Expense / Receipt Ratio</t>
  </si>
  <si>
    <t>EBITDA</t>
  </si>
  <si>
    <t>Total Revenues / Total Assets</t>
  </si>
  <si>
    <t>Other Information:</t>
  </si>
  <si>
    <t>Family Living Expense or Owner Withdrawal</t>
  </si>
  <si>
    <t>Non-Farm Income</t>
  </si>
  <si>
    <t>Total Annual P&amp;I Payments</t>
  </si>
  <si>
    <t>Please use information from your accrual-adjusted income statements instead of your tax records.</t>
  </si>
  <si>
    <t>The author is not responsible for decisions that you make based on this spreadsheet.  It is for educational purposes.</t>
  </si>
  <si>
    <t>Cash to Accrual Worksheet</t>
  </si>
  <si>
    <t>Farm Cash Receipts (from Schedule F)</t>
  </si>
  <si>
    <t>Sale Price</t>
  </si>
  <si>
    <t>minus</t>
  </si>
  <si>
    <t>Book Value</t>
  </si>
  <si>
    <t>+ Gains/losses on sale of cull breeding livestock</t>
  </si>
  <si>
    <t>+</t>
  </si>
  <si>
    <t>+ Gain/losses on sale of capital assets</t>
  </si>
  <si>
    <t>+ Government Payments Received*</t>
  </si>
  <si>
    <t>+ Insurance Proceeds*</t>
  </si>
  <si>
    <t>+ Other Farm Income*</t>
  </si>
  <si>
    <t>Plus: Changes in Current Assets</t>
  </si>
  <si>
    <t>Ending</t>
  </si>
  <si>
    <t>Beginning</t>
  </si>
  <si>
    <t>+ Change in Value of Inventories Held for Sale</t>
  </si>
  <si>
    <t>+ Change in Value of Homegrown Feeds</t>
  </si>
  <si>
    <t>+ Changes in Accounts Receivable</t>
  </si>
  <si>
    <t>= Gross Revenues (Accrual-Adjusted)   (Line A)</t>
  </si>
  <si>
    <t>Cash-Based Operating Expenses (Total Expenses from Schedule F)</t>
  </si>
  <si>
    <t>- Schedule F Depreciation Expense</t>
  </si>
  <si>
    <t>-</t>
  </si>
  <si>
    <t>= Cash Farm Operating Expenses</t>
  </si>
  <si>
    <t>=</t>
  </si>
  <si>
    <t>+ Management Depreciation Expense**</t>
  </si>
  <si>
    <t>Plus: Changes in Current Liabilities</t>
  </si>
  <si>
    <t xml:space="preserve">+ Changes in Accounts Payable </t>
  </si>
  <si>
    <t>+ Changes in Taxes Payable</t>
  </si>
  <si>
    <t xml:space="preserve">+ Changes in Notes Payable </t>
  </si>
  <si>
    <t xml:space="preserve">+ Changes in Accrued Interest </t>
  </si>
  <si>
    <t>+ Changes in other Accrued Expenses</t>
  </si>
  <si>
    <t>Minus: Changes in Current Assets</t>
  </si>
  <si>
    <t>- Changes in Pre-paid Expenses</t>
  </si>
  <si>
    <t xml:space="preserve">- Changes in Supplies </t>
  </si>
  <si>
    <t>- Changes in Purchased Feed Inventories</t>
  </si>
  <si>
    <t>- Changes in Cash Invested in Growing Crops</t>
  </si>
  <si>
    <t>= Total Farm Expenses (Accrual-Adjusted)    (Line B)</t>
  </si>
  <si>
    <t>Accrual Adjusted Net Farm Income   (Line A - Line B)</t>
  </si>
  <si>
    <t>Cash-Based Net Farm Income (Schedule F)</t>
  </si>
  <si>
    <t>Difference in Net Farm Income due to Accounting Methods (Accrual - Cash)</t>
  </si>
  <si>
    <t>*  If not included on Schedule F</t>
  </si>
  <si>
    <t>** Use your best estimate of the annual depreciation of your assets.  Do not include Section 179 Expenses.</t>
  </si>
  <si>
    <t>Modified from the worksheets developed by Dr. Peter Barry &amp; Dr. Paul Ellinger:  Financial Management in Agriculture, 7th Edition, Prentice Hall, Boston 2021</t>
  </si>
  <si>
    <t>Cash Flow Statement</t>
  </si>
  <si>
    <t>For the Year:</t>
  </si>
  <si>
    <t>Category</t>
  </si>
  <si>
    <t>January</t>
  </si>
  <si>
    <t>February</t>
  </si>
  <si>
    <t>March</t>
  </si>
  <si>
    <t>April</t>
  </si>
  <si>
    <t>July</t>
  </si>
  <si>
    <t>September</t>
  </si>
  <si>
    <t>November</t>
  </si>
  <si>
    <t>December</t>
  </si>
  <si>
    <t>Cash Inflows:</t>
  </si>
  <si>
    <t>Sales Revenues: Enterprise A</t>
  </si>
  <si>
    <t>Sales Revenues: Enterprise B</t>
  </si>
  <si>
    <t>Sales Revenues: Enterprise C</t>
  </si>
  <si>
    <t>Revenue from Custom Work</t>
  </si>
  <si>
    <t>Other Cash Inflows (Transfers, Misc., etc.)</t>
  </si>
  <si>
    <t>Total Cash Inflows</t>
  </si>
  <si>
    <t>Cash Outflows:</t>
  </si>
  <si>
    <t>Rows 16-37 can come directly from your Schedule F tax form</t>
  </si>
  <si>
    <t>Car &amp; Truck Expenses</t>
  </si>
  <si>
    <t>Do Not include your annual Depreciation &amp; Section 179 Expense from your Schedule F.</t>
  </si>
  <si>
    <t>Chemicals</t>
  </si>
  <si>
    <t>Conservation Expenses</t>
  </si>
  <si>
    <t>Custom Hire</t>
  </si>
  <si>
    <t>Employee Benefits</t>
  </si>
  <si>
    <t>Feed Purchased</t>
  </si>
  <si>
    <t>Fertilizer &amp; Lime</t>
  </si>
  <si>
    <t>Freight &amp; Trucking</t>
  </si>
  <si>
    <t>Gasoline, fuel, oil</t>
  </si>
  <si>
    <t>Labor hired</t>
  </si>
  <si>
    <t>Pension &amp; Profit-Sharing</t>
  </si>
  <si>
    <t>Rent or lease - M&amp;E</t>
  </si>
  <si>
    <t xml:space="preserve">Rent/lease - other </t>
  </si>
  <si>
    <t>Seeds &amp; Plants Purchased</t>
  </si>
  <si>
    <t>Storage &amp; Warehousing</t>
  </si>
  <si>
    <t>Supplies Purchased</t>
  </si>
  <si>
    <t>Taxes (property)</t>
  </si>
  <si>
    <t>Utilities</t>
  </si>
  <si>
    <t>Vet, breeding, medicine</t>
  </si>
  <si>
    <t>Cash Transfers (to other accounts)</t>
  </si>
  <si>
    <t>Capital Purchases (Cash)</t>
  </si>
  <si>
    <t>Principal Payments - Term Debt</t>
  </si>
  <si>
    <t>Interest Payments - Term Debt</t>
  </si>
  <si>
    <t>Family Living Expenses</t>
  </si>
  <si>
    <t>Income Taxes (including SE &amp; Payroll taxes)</t>
  </si>
  <si>
    <t>B</t>
  </si>
  <si>
    <t>Total Cash Outflows</t>
  </si>
  <si>
    <t>C</t>
  </si>
  <si>
    <t>Net Cash Flow</t>
  </si>
  <si>
    <t>(Line A - Line B)</t>
  </si>
  <si>
    <t>(A - B)</t>
  </si>
  <si>
    <t>Beginning Cash Balance</t>
  </si>
  <si>
    <t>(D 1)</t>
  </si>
  <si>
    <t>E</t>
  </si>
  <si>
    <t>Unadjusted Cash Balance</t>
  </si>
  <si>
    <t>(Line C + Line D)</t>
  </si>
  <si>
    <t>(C + D)</t>
  </si>
  <si>
    <t>Mininum Balance Desired</t>
  </si>
  <si>
    <t>Cash Avail. to Repay Operating Loan</t>
  </si>
  <si>
    <t>(If E &gt; F, E - F, 0)</t>
  </si>
  <si>
    <t>Operating Loan Needed</t>
  </si>
  <si>
    <t>(If F &gt; E, F - E, 0)</t>
  </si>
  <si>
    <t>(H1+H2+H3+H4)</t>
  </si>
  <si>
    <t>Cumulative Operating Loan Balance</t>
  </si>
  <si>
    <t>(Existing Op Loan - Op Loan Principal Paid in previous month + Line H )</t>
  </si>
  <si>
    <t>(I4 - M4)</t>
  </si>
  <si>
    <t>J</t>
  </si>
  <si>
    <t>Accrued Interest on Operating Loan</t>
  </si>
  <si>
    <t>(I x Int Rate/12 + Acc Int from previous month - Op. Interest Paid in previous month.</t>
  </si>
  <si>
    <t>(J4 - K4)</t>
  </si>
  <si>
    <t>K</t>
  </si>
  <si>
    <t>Interest Paid on Operating Loan</t>
  </si>
  <si>
    <t>(If G &gt; J, J, G)</t>
  </si>
  <si>
    <t>(K1+K2+K3+K4)</t>
  </si>
  <si>
    <t>L</t>
  </si>
  <si>
    <t>Cash Available to Repay Op Loan Principal</t>
  </si>
  <si>
    <t>(G - K)</t>
  </si>
  <si>
    <t>M</t>
  </si>
  <si>
    <t>Operating Loan Principal Repaid</t>
  </si>
  <si>
    <t>(If L &gt; I, I, L)</t>
  </si>
  <si>
    <t>(M1+M2+M3+M4)</t>
  </si>
  <si>
    <t>N</t>
  </si>
  <si>
    <t>Ending Cash Balance</t>
  </si>
  <si>
    <t>(Line E + H - K - M)</t>
  </si>
  <si>
    <t>(E + H - K - M)</t>
  </si>
  <si>
    <t>Planned</t>
  </si>
  <si>
    <t>Estimate</t>
  </si>
  <si>
    <t>Gross Income:</t>
  </si>
  <si>
    <t>Owner Withdrawal (Farm)</t>
  </si>
  <si>
    <t>Salary &amp; Wages (Non-farm)</t>
  </si>
  <si>
    <t>A. Gross Income</t>
  </si>
  <si>
    <t>Income Taxes:</t>
  </si>
  <si>
    <t>Federal, state, &amp; local income taxes</t>
  </si>
  <si>
    <t>Gross Income x 20%</t>
  </si>
  <si>
    <t>FICA (7.65%)</t>
  </si>
  <si>
    <t>Gross Income x 7.65%</t>
  </si>
  <si>
    <t>B. Total Income &amp; Payroll Taxes</t>
  </si>
  <si>
    <t>C. Take-home Pay</t>
  </si>
  <si>
    <t>Line A - B</t>
  </si>
  <si>
    <t>Planned Savings &amp; Investments:</t>
  </si>
  <si>
    <t>Goal:  &gt; Gross Income x 5-10%</t>
  </si>
  <si>
    <t>Emergency Fund (3-6 months)</t>
  </si>
  <si>
    <t>Years to Retirement</t>
  </si>
  <si>
    <t>Retirement</t>
  </si>
  <si>
    <t xml:space="preserve">See Next Page for </t>
  </si>
  <si>
    <t>$300/month with 401(k) match</t>
  </si>
  <si>
    <t>2 mil</t>
  </si>
  <si>
    <t>Education</t>
  </si>
  <si>
    <t>Rough Estimates</t>
  </si>
  <si>
    <t>2.5 mil</t>
  </si>
  <si>
    <t>D. Total Savings &amp; Investments</t>
  </si>
  <si>
    <t>3 mil</t>
  </si>
  <si>
    <t>Years Until Retirement</t>
  </si>
  <si>
    <t>Rent or Mortgage Payment (PITI)</t>
  </si>
  <si>
    <t>Goal: &lt; Gross Income x 30%</t>
  </si>
  <si>
    <t xml:space="preserve">Consumer Debt Payments </t>
  </si>
  <si>
    <t>Goal: &lt; Gross Income x 10%</t>
  </si>
  <si>
    <t xml:space="preserve">  Car Payments</t>
  </si>
  <si>
    <t xml:space="preserve">  Outstanding Credit Card Balances</t>
  </si>
  <si>
    <t xml:space="preserve">  Student Loans</t>
  </si>
  <si>
    <t xml:space="preserve">  Other Consumer Debt Payments</t>
  </si>
  <si>
    <t>Utilities:</t>
  </si>
  <si>
    <t xml:space="preserve">Goal: &lt; Gross Income x 5% </t>
  </si>
  <si>
    <t xml:space="preserve">  Phone, Internet</t>
  </si>
  <si>
    <t xml:space="preserve">  Electric, Gas, Water</t>
  </si>
  <si>
    <t xml:space="preserve">  Other</t>
  </si>
  <si>
    <t>Groceries + Food Away From Home</t>
  </si>
  <si>
    <t>Average:  $250-$300/adult</t>
  </si>
  <si>
    <t>Gas, Oil, Repairs</t>
  </si>
  <si>
    <t>Average:  Gross Income x 3%</t>
  </si>
  <si>
    <t>Insurance Premiums:</t>
  </si>
  <si>
    <t xml:space="preserve">  Life</t>
  </si>
  <si>
    <t>$50/month</t>
  </si>
  <si>
    <t xml:space="preserve">  Auto</t>
  </si>
  <si>
    <t xml:space="preserve">  Health</t>
  </si>
  <si>
    <t>$400/person/month</t>
  </si>
  <si>
    <t xml:space="preserve">  Disability</t>
  </si>
  <si>
    <t xml:space="preserve">  Renter's Insurance</t>
  </si>
  <si>
    <t>$10/month</t>
  </si>
  <si>
    <t>Personal Items</t>
  </si>
  <si>
    <t>Medical Expenses</t>
  </si>
  <si>
    <t>Average:  Gross Income x 5-10%</t>
  </si>
  <si>
    <t>Taxes:</t>
  </si>
  <si>
    <t xml:space="preserve">  Personal Property (autos, boats))</t>
  </si>
  <si>
    <t>Child Care</t>
  </si>
  <si>
    <t>Average:  $1,500/child/month</t>
  </si>
  <si>
    <t>Entertainment</t>
  </si>
  <si>
    <t>Goal:  &lt; $100/month</t>
  </si>
  <si>
    <t>E. Subtotal of Expenses</t>
  </si>
  <si>
    <t>F.  Unplanned Expenses (Fudge Factor)</t>
  </si>
  <si>
    <t>Fudge Factor %</t>
  </si>
  <si>
    <t>G. Total Cash Expenses</t>
  </si>
  <si>
    <t>Line E + Line F</t>
  </si>
  <si>
    <t>Monthly Surplus</t>
  </si>
  <si>
    <t>Line C - Line D - Line G</t>
  </si>
  <si>
    <t>Savings Goals</t>
  </si>
  <si>
    <t>Emergency Fund</t>
  </si>
  <si>
    <t>Your Goal (Monthly Expenses x 3-6 months)</t>
  </si>
  <si>
    <t>For "Monthly Expenses" use Line G from above</t>
  </si>
  <si>
    <t>Current Amount in Emergency Savings</t>
  </si>
  <si>
    <t>Amount Needed</t>
  </si>
  <si>
    <t>Line 1 - Line 2</t>
  </si>
  <si>
    <t>Desired Number of Months to Reach Your Goal</t>
  </si>
  <si>
    <t>Average Monthly Addition to Emergency Fund</t>
  </si>
  <si>
    <t>Line 3 / Line 4</t>
  </si>
  <si>
    <t>Retirement Investments</t>
  </si>
  <si>
    <t>To Reach $3 million</t>
  </si>
  <si>
    <t>With no matching contributions</t>
  </si>
  <si>
    <t>With Matching</t>
  </si>
  <si>
    <t>In 20 years</t>
  </si>
  <si>
    <t>$4,000/month</t>
  </si>
  <si>
    <t>$3,600/month</t>
  </si>
  <si>
    <t>In 30 years</t>
  </si>
  <si>
    <t>$1,500/month</t>
  </si>
  <si>
    <t>$1,200/month</t>
  </si>
  <si>
    <t>In 40 years</t>
  </si>
  <si>
    <t>$600/month</t>
  </si>
  <si>
    <t>$400/month</t>
  </si>
  <si>
    <t>Assumes:</t>
  </si>
  <si>
    <t>No current retirement investments</t>
  </si>
  <si>
    <t>Goal of $3 million for your household at day of retirement</t>
  </si>
  <si>
    <t>8% annual rate of return on investments</t>
  </si>
  <si>
    <t>Increase your contribution each year by the rate of inflation</t>
  </si>
  <si>
    <t>Education Investments</t>
  </si>
  <si>
    <t xml:space="preserve">To reach: </t>
  </si>
  <si>
    <t>In 5 years</t>
  </si>
  <si>
    <t>$350/month</t>
  </si>
  <si>
    <t>$700/month</t>
  </si>
  <si>
    <t>$1,400/month</t>
  </si>
  <si>
    <t>In 10 years</t>
  </si>
  <si>
    <t>$150/month</t>
  </si>
  <si>
    <t>$300/month</t>
  </si>
  <si>
    <t>In 15 years</t>
  </si>
  <si>
    <t>$85/month</t>
  </si>
  <si>
    <t>$175/month</t>
  </si>
  <si>
    <t>6% annual rate of return</t>
  </si>
  <si>
    <t>College tuition in 15 years will cost $50,000/year</t>
  </si>
  <si>
    <t xml:space="preserve">  (That's roughly equivalent to current tuition of $20,000/year)</t>
  </si>
  <si>
    <t>Estimating Your Cost of Living in Year 1 of Retirement</t>
  </si>
  <si>
    <t>A. Total Income Tax &amp; Payroll Expenses</t>
  </si>
  <si>
    <t>B. + Total Expenses (Line G from budget)</t>
  </si>
  <si>
    <t>C. = Total Cash Needs</t>
  </si>
  <si>
    <t>D. Years Until Retirement</t>
  </si>
  <si>
    <t>E. Expected Annual Inflation Rate Until Retirement</t>
  </si>
  <si>
    <t>x</t>
  </si>
  <si>
    <t>= Estimated Cost of Living in Year 1 of Retirement</t>
  </si>
  <si>
    <t>Line C x (1 + Line E)^Line D</t>
  </si>
  <si>
    <t>Supplies (honey)</t>
  </si>
  <si>
    <t>lbs @</t>
  </si>
  <si>
    <t>Supplies (wax)</t>
  </si>
  <si>
    <t>Using IF Statements helps identify problems</t>
  </si>
  <si>
    <t>Return on Sales   (EBT / Total Revenues)</t>
  </si>
  <si>
    <t>For educational purposes only.  The numbers in this budget are NOT representative of any specific enterprise.</t>
  </si>
  <si>
    <t>Conditional Formatting - highlight top 5 expenses</t>
  </si>
  <si>
    <t>Item</t>
  </si>
  <si>
    <t>Price</t>
  </si>
  <si>
    <t>Agritourism Enterprise Budget</t>
  </si>
  <si>
    <t>Expenses</t>
  </si>
  <si>
    <t>Food COGS</t>
  </si>
  <si>
    <t>Event Insurance</t>
  </si>
  <si>
    <t>Customers</t>
  </si>
  <si>
    <t>Food Sales</t>
  </si>
  <si>
    <t xml:space="preserve">Net Profit </t>
  </si>
  <si>
    <t>Cow Calendar</t>
  </si>
  <si>
    <t>Calving (Freshening) Date</t>
  </si>
  <si>
    <t>Gestation Period (Days)</t>
  </si>
  <si>
    <t>days</t>
  </si>
  <si>
    <t>Expected Lactation Period</t>
  </si>
  <si>
    <t>Voluntary Waiting Period</t>
  </si>
  <si>
    <t>Estrus Cycle</t>
  </si>
  <si>
    <t>Expected Number of Services</t>
  </si>
  <si>
    <t>services</t>
  </si>
  <si>
    <t>Expected Dry Period</t>
  </si>
  <si>
    <t>Earliest Breeding Date</t>
  </si>
  <si>
    <t>Expected Successful Breeding Date</t>
  </si>
  <si>
    <t>Probable Dry-Off Date</t>
  </si>
  <si>
    <t>Heifer Calculations</t>
  </si>
  <si>
    <t>Current</t>
  </si>
  <si>
    <t>Projected</t>
  </si>
  <si>
    <t>Herd Size (All Cows)</t>
  </si>
  <si>
    <t>milking and dry cows</t>
  </si>
  <si>
    <t>Culling Rate</t>
  </si>
  <si>
    <t>of all cows(includes death loss)</t>
  </si>
  <si>
    <t>Age at First Calving</t>
  </si>
  <si>
    <t>Heifer Non-Completion Rate</t>
  </si>
  <si>
    <t>of weaned heifers (sold or died)</t>
  </si>
  <si>
    <t>Calving Interval</t>
  </si>
  <si>
    <t>% Heifer Calves</t>
  </si>
  <si>
    <t>of liveborn calves</t>
  </si>
  <si>
    <t>Calf Mortality Rate</t>
  </si>
  <si>
    <t>of liveborn calves within 48 hours of birth</t>
  </si>
  <si>
    <t>Rough Rule of Thumb</t>
  </si>
  <si>
    <t>90-110% of mature cow numbers (milking and dry)</t>
  </si>
  <si>
    <t>Heifers Needed per Year</t>
  </si>
  <si>
    <t>(All Cows) x Cull Rate x Age at First Calving/24 x (1 + Non-Completion Rate for Heifers)</t>
  </si>
  <si>
    <t>Total Culls</t>
  </si>
  <si>
    <t>Culling % x All Cows</t>
  </si>
  <si>
    <t>higher culling rate = more heifers needed</t>
  </si>
  <si>
    <t>Account for Age at First Calving</t>
  </si>
  <si>
    <t>AFC/24</t>
  </si>
  <si>
    <t>Higher AFC = more heifers needed</t>
  </si>
  <si>
    <t>Accounting for Non-Completion Rate</t>
  </si>
  <si>
    <t>(1 + Heifer Non-Completion Rate)</t>
  </si>
  <si>
    <t>High non-completion rate = more heifers needed</t>
  </si>
  <si>
    <t>Heifers Produced Per Year</t>
  </si>
  <si>
    <t>All Cows x (12/Calving Interval) x % Heifer Calves x (1 - Calf Mortality Rate) x (24/Age at First Calving)</t>
  </si>
  <si>
    <t>Heifer calves born</t>
  </si>
  <si>
    <t>12/Calving Interval</t>
  </si>
  <si>
    <t>Higher % Heifer Calves = more heifers produced</t>
  </si>
  <si>
    <t>Accounting for Calving Interval</t>
  </si>
  <si>
    <t>Higher Calving Interval = less heifers produced per year</t>
  </si>
  <si>
    <t>Accounting for Calf Mortality</t>
  </si>
  <si>
    <t>(1 - Mortality Rate)</t>
  </si>
  <si>
    <t>Higher Mortality Rate = less heifers produced</t>
  </si>
  <si>
    <t>24/AFC</t>
  </si>
  <si>
    <t>Higher AFC = less heifers produced</t>
  </si>
  <si>
    <t>Estimated Calving Date</t>
  </si>
  <si>
    <t>For the Year 2022</t>
  </si>
  <si>
    <t>Qtr 1</t>
  </si>
  <si>
    <t>Qtr 2</t>
  </si>
  <si>
    <t>Qtr 3</t>
  </si>
  <si>
    <t>Qtr 4</t>
  </si>
  <si>
    <t>Sale of Market Lambs</t>
  </si>
  <si>
    <t>Sale of culls</t>
  </si>
  <si>
    <t>Sale of wool</t>
  </si>
  <si>
    <t>Rows 16-39 can come directly from your Schedule F tax form</t>
  </si>
  <si>
    <t>(Existing Op Loan - Op Loan Principal Paid in previous qtr. + Line H )</t>
  </si>
  <si>
    <t>(I x Int Rate/4 + Acc Int from previous qtr - Op. Interest Paid in previous qtr.</t>
  </si>
  <si>
    <t>Family Living Budget (Monthly)</t>
  </si>
  <si>
    <t>For the Month of:</t>
  </si>
  <si>
    <t>Units</t>
  </si>
  <si>
    <t>People</t>
  </si>
  <si>
    <t>Agritourism Event Budget</t>
  </si>
  <si>
    <t>Date:</t>
  </si>
  <si>
    <t>Admission Fees</t>
  </si>
  <si>
    <t>Meals COGS</t>
  </si>
  <si>
    <t>Fudge Factor</t>
  </si>
  <si>
    <t>Expected Profit</t>
  </si>
  <si>
    <t>per Event</t>
  </si>
  <si>
    <t>Per Event</t>
  </si>
  <si>
    <t>Breakeven Admission Price</t>
  </si>
  <si>
    <t>Breakeven Number of Customers</t>
  </si>
  <si>
    <t>Maximum COGS for Meals</t>
  </si>
  <si>
    <t>Sensitivity Analysis</t>
  </si>
  <si>
    <t>/person</t>
  </si>
  <si>
    <t>customers</t>
  </si>
  <si>
    <t>/meal</t>
  </si>
  <si>
    <t>Meals Sold</t>
  </si>
  <si>
    <t>Meals Prepared</t>
  </si>
  <si>
    <t>Herd Records</t>
  </si>
  <si>
    <t>ID Number</t>
  </si>
  <si>
    <t>Birthdate</t>
  </si>
  <si>
    <t>Birth Weight</t>
  </si>
  <si>
    <t>Weaning Weight</t>
  </si>
  <si>
    <t>Weaning Date</t>
  </si>
  <si>
    <t>Average Daily Gain</t>
  </si>
  <si>
    <t>Bull or Heifer</t>
  </si>
  <si>
    <t>Bull</t>
  </si>
  <si>
    <t>Heifer</t>
  </si>
  <si>
    <t>Age at Weaning (Days)</t>
  </si>
  <si>
    <t>Maximum</t>
  </si>
  <si>
    <t>Minimum</t>
  </si>
  <si>
    <t>Average</t>
  </si>
  <si>
    <t>Days in Calving Period</t>
  </si>
  <si>
    <t>Average Birth Weight</t>
  </si>
  <si>
    <t>Average Weaning Weight</t>
  </si>
  <si>
    <t>Average Age at Weaning</t>
  </si>
  <si>
    <t>Calves Born</t>
  </si>
  <si>
    <t>Key Production Indicator</t>
  </si>
  <si>
    <t>Grand Total</t>
  </si>
  <si>
    <t>Row Labels</t>
  </si>
  <si>
    <t>Count of Bull or Heifer</t>
  </si>
  <si>
    <t>Average of Weaning Weight</t>
  </si>
  <si>
    <t>Average of Birth Weight</t>
  </si>
  <si>
    <t>Average of Age at Weaning (Days)</t>
  </si>
  <si>
    <t>Average of Average Daily Gain</t>
  </si>
  <si>
    <t>Sire ID</t>
  </si>
  <si>
    <t>Dam ID</t>
  </si>
  <si>
    <t>By Sire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</si>
</sst>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.0_);[Red]\(#,##0.0\)"/>
    <numFmt numFmtId="165" formatCode="0.0%"/>
    <numFmt numFmtId="166" formatCode="&quot;$&quot;#,##0.00"/>
    <numFmt numFmtId="167" formatCode="0_)"/>
    <numFmt numFmtId="168" formatCode="0.0_)"/>
    <numFmt numFmtId="169" formatCode="mm/dd/yy_)"/>
    <numFmt numFmtId="170" formatCode="0_);\(0\)"/>
    <numFmt numFmtId="171" formatCode="0.00_)"/>
    <numFmt numFmtId="172" formatCode="0.00_);\(0.00\)"/>
    <numFmt numFmtId="173" formatCode="General_)"/>
    <numFmt numFmtId="174" formatCode="&quot;$&quot;#,##0.00;[Red]&quot;$&quot;#,##0.00"/>
    <numFmt numFmtId="175" formatCode="dd\-mmm\-yy_)"/>
    <numFmt numFmtId="176" formatCode="#,##0.0_);\(#,##0.0\)"/>
    <numFmt numFmtId="177" formatCode="&quot;$&quot;#,##0"/>
    <numFmt numFmtId="178" formatCode="0.00%\ \A\P\R"/>
    <numFmt numFmtId="179" formatCode="0.0"/>
    <numFmt numFmtId="185" formatCode="_(* #,##0_);_(* \(#,##0\);_(* &quot;-&quot;??_);_(@_)"/>
    <numFmt numFmtId="187" formatCode="mm/dd/yy;@"/>
  </numFmts>
  <fonts count="6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"/>
      <name val="Arial"/>
      <family val="2"/>
    </font>
    <font>
      <b/>
      <sz val="16"/>
      <name val="Arial Narrow"/>
      <family val="2"/>
    </font>
    <font>
      <sz val="12"/>
      <color indexed="13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sz val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b/>
      <sz val="12"/>
      <color indexed="12"/>
      <name val="Arial"/>
      <family val="2"/>
    </font>
    <font>
      <sz val="5"/>
      <color indexed="8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indexed="9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theme="5" tint="-0.249977111117893"/>
      <name val="Arial"/>
      <family val="2"/>
    </font>
    <font>
      <sz val="10"/>
      <color theme="3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8"/>
      <color theme="9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63377788628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2" fontId="13" fillId="0" borderId="0"/>
    <xf numFmtId="43" fontId="4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</cellStyleXfs>
  <cellXfs count="771">
    <xf numFmtId="0" fontId="0" fillId="0" borderId="0" xfId="0"/>
    <xf numFmtId="0" fontId="0" fillId="0" borderId="0" xfId="0" applyAlignment="1">
      <alignment horizontal="center"/>
    </xf>
    <xf numFmtId="0" fontId="6" fillId="2" borderId="0" xfId="0" applyFont="1" applyFill="1"/>
    <xf numFmtId="0" fontId="0" fillId="2" borderId="0" xfId="0" applyFill="1"/>
    <xf numFmtId="0" fontId="6" fillId="0" borderId="0" xfId="0" applyFont="1"/>
    <xf numFmtId="0" fontId="8" fillId="0" borderId="0" xfId="0" applyFont="1" applyFill="1"/>
    <xf numFmtId="8" fontId="8" fillId="0" borderId="0" xfId="0" applyNumberFormat="1" applyFont="1" applyFill="1"/>
    <xf numFmtId="0" fontId="0" fillId="0" borderId="0" xfId="0" quotePrefix="1"/>
    <xf numFmtId="0" fontId="0" fillId="0" borderId="1" xfId="0" applyBorder="1"/>
    <xf numFmtId="6" fontId="8" fillId="0" borderId="1" xfId="0" applyNumberFormat="1" applyFont="1" applyFill="1" applyBorder="1"/>
    <xf numFmtId="6" fontId="8" fillId="0" borderId="1" xfId="0" applyNumberFormat="1" applyFont="1" applyBorder="1"/>
    <xf numFmtId="6" fontId="0" fillId="2" borderId="0" xfId="0" applyNumberFormat="1" applyFill="1"/>
    <xf numFmtId="0" fontId="9" fillId="0" borderId="0" xfId="0" applyFont="1" applyAlignment="1">
      <alignment vertical="top"/>
    </xf>
    <xf numFmtId="6" fontId="0" fillId="0" borderId="0" xfId="0" applyNumberFormat="1"/>
    <xf numFmtId="6" fontId="8" fillId="0" borderId="0" xfId="0" applyNumberFormat="1" applyFont="1"/>
    <xf numFmtId="9" fontId="8" fillId="0" borderId="0" xfId="0" applyNumberFormat="1" applyFont="1"/>
    <xf numFmtId="0" fontId="0" fillId="0" borderId="0" xfId="0" applyBorder="1"/>
    <xf numFmtId="0" fontId="10" fillId="0" borderId="0" xfId="0" applyFont="1" applyAlignment="1">
      <alignment vertical="top"/>
    </xf>
    <xf numFmtId="0" fontId="0" fillId="0" borderId="0" xfId="0" applyFont="1" applyAlignment="1">
      <alignment vertical="top"/>
    </xf>
    <xf numFmtId="2" fontId="13" fillId="0" borderId="0" xfId="2" applyNumberFormat="1" applyFont="1" applyFill="1" applyAlignment="1" applyProtection="1">
      <protection locked="0"/>
    </xf>
    <xf numFmtId="166" fontId="13" fillId="0" borderId="0" xfId="2" applyNumberFormat="1" applyFont="1" applyFill="1" applyAlignment="1" applyProtection="1">
      <alignment horizontal="center"/>
      <protection locked="0"/>
    </xf>
    <xf numFmtId="2" fontId="13" fillId="3" borderId="0" xfId="2" applyNumberFormat="1" applyFont="1" applyFill="1" applyAlignment="1" applyProtection="1">
      <protection locked="0"/>
    </xf>
    <xf numFmtId="0" fontId="14" fillId="4" borderId="0" xfId="2" applyNumberFormat="1" applyFont="1" applyFill="1" applyBorder="1" applyAlignment="1">
      <alignment horizontal="center"/>
    </xf>
    <xf numFmtId="2" fontId="15" fillId="4" borderId="0" xfId="2" applyNumberFormat="1" applyFont="1" applyFill="1" applyBorder="1" applyAlignment="1" applyProtection="1">
      <protection locked="0"/>
    </xf>
    <xf numFmtId="166" fontId="15" fillId="4" borderId="0" xfId="2" applyNumberFormat="1" applyFont="1" applyFill="1" applyBorder="1" applyAlignment="1" applyProtection="1">
      <alignment horizontal="center"/>
      <protection locked="0"/>
    </xf>
    <xf numFmtId="2" fontId="16" fillId="4" borderId="0" xfId="2" applyNumberFormat="1" applyFont="1" applyFill="1" applyBorder="1" applyAlignment="1" applyProtection="1">
      <alignment horizontal="right"/>
      <protection locked="0"/>
    </xf>
    <xf numFmtId="2" fontId="13" fillId="0" borderId="0" xfId="2" applyNumberFormat="1" applyFont="1" applyFill="1" applyAlignment="1">
      <alignment horizontal="fill"/>
    </xf>
    <xf numFmtId="0" fontId="14" fillId="0" borderId="0" xfId="2" applyNumberFormat="1" applyFont="1" applyFill="1" applyBorder="1" applyAlignment="1">
      <alignment horizontal="center"/>
    </xf>
    <xf numFmtId="2" fontId="15" fillId="0" borderId="0" xfId="2" applyNumberFormat="1" applyFont="1" applyFill="1" applyBorder="1" applyAlignment="1" applyProtection="1">
      <protection locked="0"/>
    </xf>
    <xf numFmtId="167" fontId="18" fillId="0" borderId="0" xfId="2" applyNumberFormat="1" applyFont="1" applyProtection="1">
      <protection locked="0"/>
    </xf>
    <xf numFmtId="2" fontId="19" fillId="0" borderId="0" xfId="2" applyFont="1" applyAlignment="1" applyProtection="1">
      <alignment horizontal="left"/>
    </xf>
    <xf numFmtId="2" fontId="16" fillId="0" borderId="0" xfId="2" applyNumberFormat="1" applyFont="1" applyFill="1" applyBorder="1" applyAlignment="1" applyProtection="1">
      <alignment horizontal="right"/>
      <protection locked="0"/>
    </xf>
    <xf numFmtId="2" fontId="20" fillId="0" borderId="0" xfId="2" applyFont="1"/>
    <xf numFmtId="1" fontId="21" fillId="0" borderId="0" xfId="2" applyNumberFormat="1" applyFont="1" applyFill="1" applyAlignment="1" applyProtection="1">
      <protection locked="0"/>
    </xf>
    <xf numFmtId="2" fontId="19" fillId="0" borderId="0" xfId="2" applyFont="1"/>
    <xf numFmtId="168" fontId="18" fillId="0" borderId="0" xfId="2" applyNumberFormat="1" applyFont="1" applyProtection="1">
      <protection locked="0"/>
    </xf>
    <xf numFmtId="167" fontId="19" fillId="0" borderId="0" xfId="2" applyNumberFormat="1" applyFont="1" applyProtection="1"/>
    <xf numFmtId="169" fontId="23" fillId="0" borderId="0" xfId="2" applyNumberFormat="1" applyFont="1" applyProtection="1">
      <protection locked="0"/>
    </xf>
    <xf numFmtId="2" fontId="20" fillId="0" borderId="3" xfId="2" applyFont="1" applyBorder="1" applyAlignment="1" applyProtection="1">
      <alignment horizontal="left"/>
    </xf>
    <xf numFmtId="2" fontId="20" fillId="0" borderId="3" xfId="2" applyFont="1" applyBorder="1" applyAlignment="1">
      <alignment horizontal="right"/>
    </xf>
    <xf numFmtId="2" fontId="16" fillId="0" borderId="3" xfId="2" applyFont="1" applyBorder="1"/>
    <xf numFmtId="2" fontId="20" fillId="0" borderId="3" xfId="2" applyFont="1" applyBorder="1" applyAlignment="1" applyProtection="1">
      <alignment horizontal="center"/>
    </xf>
    <xf numFmtId="2" fontId="20" fillId="0" borderId="3" xfId="2" applyFont="1" applyBorder="1" applyAlignment="1" applyProtection="1">
      <alignment horizontal="right"/>
    </xf>
    <xf numFmtId="2" fontId="20" fillId="0" borderId="3" xfId="2" applyFont="1" applyBorder="1"/>
    <xf numFmtId="2" fontId="16" fillId="0" borderId="0" xfId="2" applyFont="1"/>
    <xf numFmtId="2" fontId="20" fillId="0" borderId="0" xfId="2" applyFont="1" applyAlignment="1">
      <alignment horizontal="center"/>
    </xf>
    <xf numFmtId="2" fontId="20" fillId="0" borderId="0" xfId="2" applyFont="1" applyAlignment="1" applyProtection="1">
      <alignment horizontal="left"/>
    </xf>
    <xf numFmtId="170" fontId="20" fillId="0" borderId="0" xfId="2" quotePrefix="1" applyNumberFormat="1" applyFont="1" applyProtection="1"/>
    <xf numFmtId="167" fontId="20" fillId="0" borderId="0" xfId="2" applyNumberFormat="1" applyFont="1" applyAlignment="1" applyProtection="1">
      <alignment horizontal="left"/>
    </xf>
    <xf numFmtId="171" fontId="23" fillId="0" borderId="0" xfId="2" applyNumberFormat="1" applyFont="1" applyProtection="1">
      <protection locked="0"/>
    </xf>
    <xf numFmtId="2" fontId="20" fillId="0" borderId="0" xfId="2" applyFont="1" applyAlignment="1" applyProtection="1">
      <alignment horizontal="center"/>
    </xf>
    <xf numFmtId="7" fontId="23" fillId="0" borderId="0" xfId="2" applyNumberFormat="1" applyFont="1" applyProtection="1">
      <protection locked="0"/>
    </xf>
    <xf numFmtId="171" fontId="20" fillId="0" borderId="0" xfId="2" applyNumberFormat="1" applyFont="1" applyProtection="1"/>
    <xf numFmtId="7" fontId="20" fillId="0" borderId="0" xfId="2" applyNumberFormat="1" applyFont="1" applyProtection="1"/>
    <xf numFmtId="167" fontId="20" fillId="0" borderId="0" xfId="2" applyNumberFormat="1" applyFont="1" applyProtection="1"/>
    <xf numFmtId="2" fontId="13" fillId="0" borderId="0" xfId="2" applyNumberFormat="1" applyFont="1" applyFill="1" applyAlignment="1"/>
    <xf numFmtId="0" fontId="13" fillId="0" borderId="0" xfId="2" applyNumberFormat="1" applyFont="1" applyFill="1" applyAlignment="1"/>
    <xf numFmtId="2" fontId="23" fillId="0" borderId="0" xfId="2" applyFont="1" applyProtection="1">
      <protection locked="0"/>
    </xf>
    <xf numFmtId="7" fontId="19" fillId="0" borderId="0" xfId="2" applyNumberFormat="1" applyFont="1"/>
    <xf numFmtId="7" fontId="19" fillId="0" borderId="0" xfId="2" applyNumberFormat="1" applyFont="1" applyProtection="1"/>
    <xf numFmtId="2" fontId="20" fillId="0" borderId="0" xfId="2" applyFont="1" applyProtection="1"/>
    <xf numFmtId="165" fontId="23" fillId="0" borderId="0" xfId="2" applyNumberFormat="1" applyFont="1" applyAlignment="1" applyProtection="1">
      <alignment horizontal="center"/>
      <protection locked="0"/>
    </xf>
    <xf numFmtId="172" fontId="23" fillId="0" borderId="4" xfId="2" applyNumberFormat="1" applyFont="1" applyBorder="1"/>
    <xf numFmtId="173" fontId="20" fillId="0" borderId="0" xfId="2" applyNumberFormat="1" applyFont="1" applyProtection="1"/>
    <xf numFmtId="172" fontId="23" fillId="0" borderId="5" xfId="2" applyNumberFormat="1" applyFont="1" applyBorder="1"/>
    <xf numFmtId="170" fontId="23" fillId="0" borderId="4" xfId="2" applyNumberFormat="1" applyFont="1" applyBorder="1"/>
    <xf numFmtId="7" fontId="20" fillId="0" borderId="0" xfId="2" quotePrefix="1" applyNumberFormat="1" applyFont="1" applyProtection="1"/>
    <xf numFmtId="7" fontId="23" fillId="0" borderId="0" xfId="2" applyNumberFormat="1" applyFont="1" applyAlignment="1" applyProtection="1">
      <alignment horizontal="right"/>
    </xf>
    <xf numFmtId="173" fontId="20" fillId="0" borderId="0" xfId="2" applyNumberFormat="1" applyFont="1" applyAlignment="1" applyProtection="1">
      <alignment horizontal="right"/>
    </xf>
    <xf numFmtId="170" fontId="23" fillId="0" borderId="4" xfId="2" applyNumberFormat="1" applyFont="1" applyBorder="1" applyAlignment="1" applyProtection="1">
      <alignment horizontal="right"/>
      <protection locked="0"/>
    </xf>
    <xf numFmtId="170" fontId="23" fillId="0" borderId="5" xfId="2" applyNumberFormat="1" applyFont="1" applyBorder="1" applyAlignment="1" applyProtection="1">
      <alignment horizontal="right"/>
    </xf>
    <xf numFmtId="10" fontId="23" fillId="0" borderId="0" xfId="2" applyNumberFormat="1" applyFont="1" applyAlignment="1" applyProtection="1">
      <alignment horizontal="left"/>
      <protection locked="0"/>
    </xf>
    <xf numFmtId="10" fontId="23" fillId="0" borderId="0" xfId="2" applyNumberFormat="1" applyFont="1" applyProtection="1">
      <protection locked="0"/>
    </xf>
    <xf numFmtId="42" fontId="20" fillId="0" borderId="0" xfId="2" applyNumberFormat="1" applyFont="1" applyProtection="1"/>
    <xf numFmtId="7" fontId="20" fillId="0" borderId="0" xfId="2" applyNumberFormat="1" applyFont="1"/>
    <xf numFmtId="0" fontId="13" fillId="0" borderId="0" xfId="2" applyNumberFormat="1" applyFont="1" applyFill="1" applyAlignment="1" applyProtection="1">
      <protection locked="0"/>
    </xf>
    <xf numFmtId="7" fontId="19" fillId="0" borderId="0" xfId="2" applyNumberFormat="1" applyFont="1" applyBorder="1" applyAlignment="1">
      <alignment vertical="center"/>
    </xf>
    <xf numFmtId="2" fontId="19" fillId="0" borderId="0" xfId="2" applyFont="1" applyBorder="1" applyAlignment="1">
      <alignment vertical="center"/>
    </xf>
    <xf numFmtId="7" fontId="19" fillId="0" borderId="0" xfId="2" applyNumberFormat="1" applyFont="1" applyBorder="1" applyAlignment="1" applyProtection="1">
      <alignment vertical="center"/>
    </xf>
    <xf numFmtId="2" fontId="20" fillId="0" borderId="0" xfId="2" applyFont="1" applyBorder="1" applyAlignment="1" applyProtection="1">
      <alignment horizontal="center"/>
    </xf>
    <xf numFmtId="2" fontId="19" fillId="0" borderId="2" xfId="2" applyFont="1" applyBorder="1" applyAlignment="1" applyProtection="1">
      <alignment horizontal="left" vertical="center"/>
    </xf>
    <xf numFmtId="2" fontId="22" fillId="5" borderId="2" xfId="2" applyNumberFormat="1" applyFont="1" applyFill="1" applyBorder="1" applyAlignment="1" applyProtection="1">
      <alignment vertical="center"/>
      <protection locked="0"/>
    </xf>
    <xf numFmtId="7" fontId="19" fillId="0" borderId="2" xfId="2" applyNumberFormat="1" applyFont="1" applyBorder="1" applyAlignment="1">
      <alignment vertical="center"/>
    </xf>
    <xf numFmtId="2" fontId="19" fillId="0" borderId="2" xfId="2" applyFont="1" applyBorder="1" applyAlignment="1">
      <alignment vertical="center"/>
    </xf>
    <xf numFmtId="7" fontId="19" fillId="0" borderId="2" xfId="2" applyNumberFormat="1" applyFont="1" applyBorder="1" applyAlignment="1" applyProtection="1">
      <alignment vertical="center"/>
    </xf>
    <xf numFmtId="2" fontId="20" fillId="0" borderId="2" xfId="2" applyFont="1" applyBorder="1" applyAlignment="1" applyProtection="1">
      <alignment horizontal="center"/>
    </xf>
    <xf numFmtId="1" fontId="13" fillId="0" borderId="0" xfId="2" applyNumberFormat="1" applyFont="1" applyFill="1" applyAlignment="1"/>
    <xf numFmtId="2" fontId="13" fillId="0" borderId="0" xfId="2" applyNumberFormat="1" applyFont="1" applyFill="1" applyBorder="1" applyAlignment="1" applyProtection="1">
      <protection locked="0"/>
    </xf>
    <xf numFmtId="2" fontId="20" fillId="0" borderId="0" xfId="2" applyFont="1" applyBorder="1" applyAlignment="1">
      <alignment horizontal="center" textRotation="90"/>
    </xf>
    <xf numFmtId="9" fontId="20" fillId="0" borderId="1" xfId="2" applyNumberFormat="1" applyFont="1" applyBorder="1" applyAlignment="1">
      <alignment horizontal="center"/>
    </xf>
    <xf numFmtId="9" fontId="20" fillId="0" borderId="0" xfId="2" applyNumberFormat="1" applyFont="1" applyBorder="1" applyAlignment="1">
      <alignment horizontal="center"/>
    </xf>
    <xf numFmtId="8" fontId="20" fillId="0" borderId="0" xfId="2" applyNumberFormat="1" applyFont="1" applyBorder="1" applyAlignment="1">
      <alignment horizontal="center"/>
    </xf>
    <xf numFmtId="2" fontId="20" fillId="0" borderId="0" xfId="2" applyFont="1" applyBorder="1" applyAlignment="1">
      <alignment horizontal="center"/>
    </xf>
    <xf numFmtId="8" fontId="19" fillId="0" borderId="0" xfId="2" applyNumberFormat="1" applyFont="1" applyBorder="1" applyAlignment="1">
      <alignment horizontal="center"/>
    </xf>
    <xf numFmtId="2" fontId="13" fillId="0" borderId="1" xfId="2" applyNumberFormat="1" applyFont="1" applyFill="1" applyBorder="1" applyAlignment="1" applyProtection="1">
      <protection locked="0"/>
    </xf>
    <xf numFmtId="9" fontId="23" fillId="0" borderId="0" xfId="2" applyNumberFormat="1" applyFont="1" applyBorder="1" applyAlignment="1" applyProtection="1">
      <alignment horizontal="center"/>
    </xf>
    <xf numFmtId="174" fontId="20" fillId="0" borderId="0" xfId="2" applyNumberFormat="1" applyFont="1" applyBorder="1" applyAlignment="1">
      <alignment horizontal="left"/>
    </xf>
    <xf numFmtId="174" fontId="20" fillId="0" borderId="0" xfId="2" applyNumberFormat="1" applyFont="1" applyBorder="1" applyAlignment="1">
      <alignment horizontal="center"/>
    </xf>
    <xf numFmtId="2" fontId="13" fillId="0" borderId="2" xfId="2" applyNumberFormat="1" applyFont="1" applyFill="1" applyBorder="1" applyAlignment="1" applyProtection="1">
      <protection locked="0"/>
    </xf>
    <xf numFmtId="9" fontId="20" fillId="0" borderId="2" xfId="2" applyNumberFormat="1" applyFont="1" applyBorder="1" applyAlignment="1">
      <alignment horizontal="center"/>
    </xf>
    <xf numFmtId="171" fontId="20" fillId="0" borderId="2" xfId="2" applyNumberFormat="1" applyFont="1" applyBorder="1" applyProtection="1"/>
    <xf numFmtId="174" fontId="20" fillId="0" borderId="2" xfId="2" applyNumberFormat="1" applyFont="1" applyBorder="1" applyAlignment="1">
      <alignment horizontal="center"/>
    </xf>
    <xf numFmtId="2" fontId="26" fillId="0" borderId="3" xfId="2" applyFont="1" applyBorder="1"/>
    <xf numFmtId="2" fontId="26" fillId="0" borderId="3" xfId="2" applyFont="1" applyBorder="1" applyAlignment="1" applyProtection="1">
      <alignment horizontal="right" vertical="center"/>
    </xf>
    <xf numFmtId="2" fontId="26" fillId="0" borderId="0" xfId="2" applyFont="1" applyAlignment="1" applyProtection="1">
      <alignment horizontal="left"/>
    </xf>
    <xf numFmtId="2" fontId="20" fillId="0" borderId="0" xfId="2" applyFont="1" applyAlignment="1">
      <alignment horizontal="right"/>
    </xf>
    <xf numFmtId="2" fontId="20" fillId="0" borderId="0" xfId="2" applyFont="1" applyAlignment="1" applyProtection="1">
      <alignment horizontal="right"/>
    </xf>
    <xf numFmtId="2" fontId="23" fillId="0" borderId="0" xfId="2" applyFont="1" applyAlignment="1" applyProtection="1">
      <alignment horizontal="right"/>
      <protection locked="0"/>
    </xf>
    <xf numFmtId="175" fontId="20" fillId="0" borderId="0" xfId="2" applyNumberFormat="1" applyFont="1" applyAlignment="1" applyProtection="1">
      <alignment horizontal="left"/>
    </xf>
    <xf numFmtId="2" fontId="28" fillId="0" borderId="0" xfId="2" applyNumberFormat="1" applyFont="1" applyFill="1" applyAlignment="1" applyProtection="1">
      <alignment horizontal="right"/>
      <protection locked="0"/>
    </xf>
    <xf numFmtId="167" fontId="20" fillId="0" borderId="0" xfId="2" quotePrefix="1" applyNumberFormat="1" applyFont="1" applyProtection="1"/>
    <xf numFmtId="167" fontId="23" fillId="0" borderId="0" xfId="2" applyNumberFormat="1" applyFont="1" applyProtection="1">
      <protection locked="0"/>
    </xf>
    <xf numFmtId="2" fontId="20" fillId="0" borderId="1" xfId="2" applyFont="1" applyBorder="1" applyProtection="1">
      <protection locked="0"/>
    </xf>
    <xf numFmtId="167" fontId="23" fillId="0" borderId="1" xfId="2" applyNumberFormat="1" applyFont="1" applyBorder="1" applyProtection="1">
      <protection locked="0"/>
    </xf>
    <xf numFmtId="2" fontId="28" fillId="0" borderId="1" xfId="2" applyNumberFormat="1" applyFont="1" applyFill="1" applyBorder="1" applyAlignment="1" applyProtection="1">
      <alignment horizontal="right"/>
      <protection locked="0"/>
    </xf>
    <xf numFmtId="2" fontId="23" fillId="0" borderId="0" xfId="2" applyFont="1" applyBorder="1" applyProtection="1">
      <protection locked="0"/>
    </xf>
    <xf numFmtId="2" fontId="20" fillId="0" borderId="0" xfId="2" applyFont="1" applyBorder="1" applyAlignment="1" applyProtection="1">
      <alignment horizontal="left"/>
    </xf>
    <xf numFmtId="2" fontId="29" fillId="0" borderId="0" xfId="2" applyFont="1" applyAlignment="1">
      <alignment horizontal="right"/>
    </xf>
    <xf numFmtId="167" fontId="23" fillId="0" borderId="0" xfId="2" applyNumberFormat="1" applyFont="1" applyBorder="1" applyProtection="1">
      <protection locked="0"/>
    </xf>
    <xf numFmtId="2" fontId="13" fillId="3" borderId="0" xfId="2" applyNumberFormat="1" applyFont="1" applyFill="1" applyAlignment="1" applyProtection="1"/>
    <xf numFmtId="2" fontId="23" fillId="0" borderId="0" xfId="2" applyFont="1" applyAlignment="1" applyProtection="1">
      <alignment horizontal="left"/>
      <protection locked="0"/>
    </xf>
    <xf numFmtId="2" fontId="30" fillId="0" borderId="0" xfId="2" applyFont="1" applyAlignment="1" applyProtection="1">
      <alignment horizontal="left"/>
    </xf>
    <xf numFmtId="1" fontId="31" fillId="0" borderId="0" xfId="2" applyNumberFormat="1" applyFont="1" applyAlignment="1">
      <alignment horizontal="center"/>
    </xf>
    <xf numFmtId="2" fontId="23" fillId="0" borderId="0" xfId="2" applyFont="1" applyAlignment="1" applyProtection="1">
      <alignment horizontal="left"/>
    </xf>
    <xf numFmtId="2" fontId="20" fillId="0" borderId="2" xfId="2" applyFont="1" applyBorder="1" applyAlignment="1" applyProtection="1">
      <alignment horizontal="fill"/>
    </xf>
    <xf numFmtId="171" fontId="20" fillId="0" borderId="0" xfId="2" applyNumberFormat="1" applyFont="1" applyAlignment="1" applyProtection="1">
      <alignment horizontal="right"/>
    </xf>
    <xf numFmtId="2" fontId="20" fillId="0" borderId="1" xfId="2" applyFont="1" applyBorder="1" applyAlignment="1" applyProtection="1">
      <alignment horizontal="left"/>
    </xf>
    <xf numFmtId="2" fontId="20" fillId="0" borderId="1" xfId="2" applyFont="1" applyBorder="1"/>
    <xf numFmtId="2" fontId="20" fillId="0" borderId="1" xfId="2" applyFont="1" applyBorder="1" applyAlignment="1">
      <alignment horizontal="right"/>
    </xf>
    <xf numFmtId="2" fontId="20" fillId="0" borderId="1" xfId="2" applyFont="1" applyBorder="1" applyAlignment="1" applyProtection="1">
      <alignment horizontal="right"/>
    </xf>
    <xf numFmtId="2" fontId="20" fillId="0" borderId="1" xfId="2" applyFont="1" applyBorder="1" applyAlignment="1" applyProtection="1">
      <alignment horizontal="center"/>
    </xf>
    <xf numFmtId="2" fontId="20" fillId="0" borderId="0" xfId="2" applyFont="1" applyAlignment="1" applyProtection="1">
      <alignment horizontal="fill"/>
    </xf>
    <xf numFmtId="37" fontId="23" fillId="0" borderId="0" xfId="2" applyNumberFormat="1" applyFont="1" applyProtection="1">
      <protection locked="0"/>
    </xf>
    <xf numFmtId="10" fontId="23" fillId="0" borderId="0" xfId="2" applyNumberFormat="1" applyFont="1" applyAlignment="1" applyProtection="1">
      <alignment horizontal="center"/>
      <protection locked="0"/>
    </xf>
    <xf numFmtId="167" fontId="23" fillId="0" borderId="0" xfId="2" applyNumberFormat="1" applyFont="1" applyAlignment="1" applyProtection="1">
      <alignment horizontal="center"/>
      <protection locked="0"/>
    </xf>
    <xf numFmtId="9" fontId="23" fillId="0" borderId="0" xfId="2" applyNumberFormat="1" applyFont="1" applyAlignment="1" applyProtection="1">
      <alignment horizontal="center"/>
      <protection locked="0"/>
    </xf>
    <xf numFmtId="4" fontId="13" fillId="3" borderId="0" xfId="2" applyNumberFormat="1" applyFont="1" applyFill="1" applyAlignment="1" applyProtection="1">
      <protection locked="0"/>
    </xf>
    <xf numFmtId="2" fontId="20" fillId="0" borderId="1" xfId="2" applyFont="1" applyBorder="1" applyAlignment="1" applyProtection="1">
      <alignment horizontal="fill"/>
    </xf>
    <xf numFmtId="7" fontId="23" fillId="0" borderId="1" xfId="2" applyNumberFormat="1" applyFont="1" applyBorder="1" applyAlignment="1" applyProtection="1">
      <protection locked="0"/>
    </xf>
    <xf numFmtId="2" fontId="20" fillId="0" borderId="2" xfId="2" applyFont="1" applyBorder="1"/>
    <xf numFmtId="2" fontId="16" fillId="0" borderId="2" xfId="2" applyFont="1" applyBorder="1"/>
    <xf numFmtId="167" fontId="20" fillId="0" borderId="2" xfId="2" applyNumberFormat="1" applyFont="1" applyBorder="1" applyProtection="1"/>
    <xf numFmtId="5" fontId="19" fillId="0" borderId="2" xfId="2" applyNumberFormat="1" applyFont="1" applyBorder="1" applyAlignment="1" applyProtection="1">
      <alignment horizontal="left"/>
    </xf>
    <xf numFmtId="2" fontId="19" fillId="0" borderId="2" xfId="2" applyFont="1" applyBorder="1"/>
    <xf numFmtId="167" fontId="19" fillId="0" borderId="2" xfId="2" applyNumberFormat="1" applyFont="1" applyBorder="1" applyProtection="1"/>
    <xf numFmtId="7" fontId="19" fillId="0" borderId="2" xfId="2" applyNumberFormat="1" applyFont="1" applyBorder="1" applyProtection="1"/>
    <xf numFmtId="2" fontId="22" fillId="5" borderId="0" xfId="2" applyNumberFormat="1" applyFont="1" applyFill="1" applyAlignment="1" applyProtection="1">
      <protection locked="0"/>
    </xf>
    <xf numFmtId="2" fontId="16" fillId="0" borderId="0" xfId="2" applyFont="1" applyAlignment="1" applyProtection="1">
      <alignment horizontal="center"/>
    </xf>
    <xf numFmtId="2" fontId="13" fillId="3" borderId="0" xfId="2" applyFill="1"/>
    <xf numFmtId="39" fontId="23" fillId="0" borderId="0" xfId="2" applyNumberFormat="1" applyFont="1" applyProtection="1">
      <protection locked="0"/>
    </xf>
    <xf numFmtId="0" fontId="23" fillId="0" borderId="0" xfId="2" applyNumberFormat="1" applyFont="1" applyProtection="1">
      <protection locked="0"/>
    </xf>
    <xf numFmtId="2" fontId="13" fillId="0" borderId="0" xfId="2" applyFont="1" applyFill="1" applyAlignment="1">
      <alignment horizontal="center"/>
    </xf>
    <xf numFmtId="2" fontId="13" fillId="0" borderId="0" xfId="2" applyFill="1"/>
    <xf numFmtId="39" fontId="20" fillId="0" borderId="1" xfId="2" applyNumberFormat="1" applyFont="1" applyBorder="1"/>
    <xf numFmtId="39" fontId="20" fillId="0" borderId="0" xfId="2" applyNumberFormat="1" applyFont="1"/>
    <xf numFmtId="166" fontId="13" fillId="0" borderId="0" xfId="2" quotePrefix="1" applyNumberFormat="1" applyFont="1" applyFill="1" applyBorder="1" applyAlignment="1" applyProtection="1">
      <alignment horizontal="center"/>
      <protection locked="0"/>
    </xf>
    <xf numFmtId="166" fontId="13" fillId="0" borderId="0" xfId="2" quotePrefix="1" applyNumberFormat="1" applyFont="1" applyFill="1" applyBorder="1" applyAlignment="1" applyProtection="1">
      <alignment horizontal="right"/>
      <protection locked="0"/>
    </xf>
    <xf numFmtId="1" fontId="13" fillId="3" borderId="0" xfId="2" applyNumberFormat="1" applyFont="1" applyFill="1" applyAlignment="1" applyProtection="1">
      <protection locked="0"/>
    </xf>
    <xf numFmtId="39" fontId="20" fillId="0" borderId="0" xfId="2" applyNumberFormat="1" applyFont="1" applyAlignment="1" applyProtection="1">
      <alignment horizontal="left"/>
    </xf>
    <xf numFmtId="5" fontId="23" fillId="0" borderId="0" xfId="2" applyNumberFormat="1" applyFont="1" applyProtection="1">
      <protection locked="0"/>
    </xf>
    <xf numFmtId="2" fontId="20" fillId="0" borderId="0" xfId="2" applyFont="1" applyAlignment="1">
      <alignment horizontal="fill"/>
    </xf>
    <xf numFmtId="7" fontId="20" fillId="0" borderId="0" xfId="2" applyNumberFormat="1" applyFont="1" applyAlignment="1">
      <alignment horizontal="fill"/>
    </xf>
    <xf numFmtId="2" fontId="19" fillId="0" borderId="0" xfId="2" applyFont="1" applyAlignment="1" applyProtection="1">
      <alignment horizontal="left" vertical="center"/>
    </xf>
    <xf numFmtId="7" fontId="19" fillId="0" borderId="8" xfId="2" applyNumberFormat="1" applyFont="1" applyBorder="1" applyAlignment="1" applyProtection="1">
      <alignment vertical="center"/>
    </xf>
    <xf numFmtId="2" fontId="32" fillId="0" borderId="9" xfId="2" applyFont="1" applyFill="1" applyBorder="1" applyProtection="1"/>
    <xf numFmtId="2" fontId="13" fillId="0" borderId="9" xfId="2" applyNumberFormat="1" applyFont="1" applyFill="1" applyBorder="1" applyAlignment="1" applyProtection="1"/>
    <xf numFmtId="2" fontId="13" fillId="0" borderId="9" xfId="2" applyNumberFormat="1" applyFont="1" applyFill="1" applyBorder="1" applyAlignment="1" applyProtection="1">
      <protection locked="0"/>
    </xf>
    <xf numFmtId="166" fontId="13" fillId="0" borderId="9" xfId="2" applyNumberFormat="1" applyFont="1" applyFill="1" applyBorder="1" applyAlignment="1" applyProtection="1">
      <alignment horizontal="center"/>
      <protection locked="0"/>
    </xf>
    <xf numFmtId="2" fontId="13" fillId="0" borderId="9" xfId="2" applyFill="1" applyBorder="1"/>
    <xf numFmtId="2" fontId="13" fillId="0" borderId="10" xfId="2" applyFill="1" applyBorder="1"/>
    <xf numFmtId="2" fontId="33" fillId="0" borderId="0" xfId="2" applyFont="1" applyFill="1" applyAlignment="1">
      <alignment horizontal="center"/>
    </xf>
    <xf numFmtId="2" fontId="21" fillId="0" borderId="0" xfId="2" applyNumberFormat="1" applyFont="1" applyFill="1" applyAlignment="1" applyProtection="1">
      <protection locked="0"/>
    </xf>
    <xf numFmtId="166" fontId="13" fillId="0" borderId="0" xfId="2" applyNumberFormat="1" applyFont="1" applyFill="1" applyAlignment="1">
      <alignment horizontal="center"/>
    </xf>
    <xf numFmtId="0" fontId="14" fillId="4" borderId="0" xfId="2" applyNumberFormat="1" applyFont="1" applyFill="1" applyBorder="1" applyAlignment="1" applyProtection="1">
      <alignment horizontal="center"/>
      <protection locked="0"/>
    </xf>
    <xf numFmtId="2" fontId="13" fillId="0" borderId="0" xfId="2" applyNumberFormat="1" applyFont="1" applyFill="1" applyAlignment="1" applyProtection="1">
      <alignment horizontal="fill"/>
      <protection locked="0"/>
    </xf>
    <xf numFmtId="2" fontId="13" fillId="0" borderId="0" xfId="2" applyNumberFormat="1" applyFont="1" applyFill="1" applyAlignment="1" applyProtection="1">
      <alignment horizontal="center"/>
      <protection locked="0"/>
    </xf>
    <xf numFmtId="2" fontId="13" fillId="0" borderId="0" xfId="2" quotePrefix="1" applyNumberFormat="1" applyFont="1" applyFill="1" applyAlignment="1" applyProtection="1">
      <protection locked="0"/>
    </xf>
    <xf numFmtId="2" fontId="36" fillId="0" borderId="0" xfId="2" applyNumberFormat="1" applyFont="1" applyFill="1" applyAlignment="1" applyProtection="1">
      <alignment horizontal="right"/>
      <protection locked="0"/>
    </xf>
    <xf numFmtId="2" fontId="13" fillId="0" borderId="0" xfId="2" applyNumberFormat="1" applyFont="1" applyFill="1" applyAlignment="1" applyProtection="1">
      <alignment horizontal="right"/>
      <protection locked="0"/>
    </xf>
    <xf numFmtId="1" fontId="16" fillId="0" borderId="0" xfId="2" applyNumberFormat="1" applyFont="1" applyFill="1" applyAlignment="1" applyProtection="1"/>
    <xf numFmtId="1" fontId="37" fillId="0" borderId="0" xfId="2" applyNumberFormat="1" applyFont="1" applyFill="1" applyAlignment="1" applyProtection="1">
      <alignment horizontal="right"/>
      <protection locked="0"/>
    </xf>
    <xf numFmtId="2" fontId="13" fillId="0" borderId="11" xfId="2" applyNumberFormat="1" applyFont="1" applyFill="1" applyBorder="1" applyAlignment="1" applyProtection="1">
      <protection locked="0"/>
    </xf>
    <xf numFmtId="2" fontId="13" fillId="0" borderId="11" xfId="2" applyFont="1" applyFill="1" applyBorder="1" applyAlignment="1" applyProtection="1">
      <alignment horizontal="right"/>
      <protection locked="0"/>
    </xf>
    <xf numFmtId="166" fontId="13" fillId="0" borderId="11" xfId="2" applyNumberFormat="1" applyFont="1" applyFill="1" applyBorder="1" applyAlignment="1" applyProtection="1">
      <alignment horizontal="right"/>
      <protection locked="0"/>
    </xf>
    <xf numFmtId="2" fontId="13" fillId="0" borderId="11" xfId="2" applyFont="1" applyFill="1" applyBorder="1" applyAlignment="1" applyProtection="1">
      <alignment horizontal="right"/>
    </xf>
    <xf numFmtId="2" fontId="13" fillId="0" borderId="11" xfId="2" applyFont="1" applyFill="1" applyBorder="1" applyAlignment="1" applyProtection="1">
      <alignment horizontal="center"/>
    </xf>
    <xf numFmtId="1" fontId="13" fillId="0" borderId="1" xfId="2" applyNumberFormat="1" applyFont="1" applyFill="1" applyBorder="1" applyAlignment="1" applyProtection="1">
      <protection locked="0"/>
    </xf>
    <xf numFmtId="2" fontId="13" fillId="0" borderId="1" xfId="2" applyFont="1" applyFill="1" applyBorder="1" applyAlignment="1" applyProtection="1">
      <alignment horizontal="right"/>
      <protection locked="0"/>
    </xf>
    <xf numFmtId="166" fontId="13" fillId="0" borderId="1" xfId="2" applyNumberFormat="1" applyFont="1" applyFill="1" applyBorder="1" applyAlignment="1" applyProtection="1">
      <alignment horizontal="right"/>
      <protection locked="0"/>
    </xf>
    <xf numFmtId="2" fontId="13" fillId="0" borderId="1" xfId="2" applyFont="1" applyFill="1" applyBorder="1" applyAlignment="1" applyProtection="1">
      <alignment horizontal="right"/>
    </xf>
    <xf numFmtId="2" fontId="13" fillId="0" borderId="1" xfId="2" applyFont="1" applyFill="1" applyBorder="1" applyAlignment="1" applyProtection="1">
      <alignment horizontal="center"/>
    </xf>
    <xf numFmtId="2" fontId="13" fillId="0" borderId="0" xfId="2" applyFont="1" applyFill="1" applyAlignment="1" applyProtection="1">
      <alignment horizontal="right"/>
      <protection locked="0"/>
    </xf>
    <xf numFmtId="166" fontId="13" fillId="0" borderId="0" xfId="2" applyNumberFormat="1" applyFont="1" applyFill="1" applyAlignment="1" applyProtection="1">
      <alignment horizontal="right"/>
      <protection locked="0"/>
    </xf>
    <xf numFmtId="2" fontId="13" fillId="0" borderId="0" xfId="2" applyFont="1" applyFill="1" applyAlignment="1" applyProtection="1">
      <alignment horizontal="right"/>
    </xf>
    <xf numFmtId="2" fontId="13" fillId="0" borderId="0" xfId="2" applyFont="1" applyFill="1" applyAlignment="1" applyProtection="1">
      <alignment horizontal="center"/>
    </xf>
    <xf numFmtId="2" fontId="22" fillId="0" borderId="0" xfId="2" applyNumberFormat="1" applyFont="1" applyFill="1" applyAlignment="1" applyProtection="1">
      <protection locked="0"/>
    </xf>
    <xf numFmtId="1" fontId="13" fillId="0" borderId="0" xfId="2" applyNumberFormat="1" applyFont="1" applyFill="1" applyAlignment="1" applyProtection="1">
      <protection locked="0"/>
    </xf>
    <xf numFmtId="2" fontId="21" fillId="0" borderId="0" xfId="2" applyFont="1" applyFill="1" applyAlignment="1" applyProtection="1">
      <alignment horizontal="right"/>
      <protection locked="0"/>
    </xf>
    <xf numFmtId="166" fontId="21" fillId="0" borderId="0" xfId="2" applyNumberFormat="1" applyFont="1" applyFill="1" applyAlignment="1" applyProtection="1">
      <alignment horizontal="right"/>
      <protection locked="0"/>
    </xf>
    <xf numFmtId="166" fontId="13" fillId="0" borderId="0" xfId="2" applyNumberFormat="1" applyFont="1" applyFill="1" applyAlignment="1" applyProtection="1">
      <alignment horizontal="right"/>
    </xf>
    <xf numFmtId="2" fontId="22" fillId="0" borderId="12" xfId="2" applyNumberFormat="1" applyFont="1" applyFill="1" applyBorder="1" applyAlignment="1" applyProtection="1">
      <alignment horizontal="right"/>
    </xf>
    <xf numFmtId="166" fontId="22" fillId="0" borderId="0" xfId="2" applyNumberFormat="1" applyFont="1" applyFill="1" applyAlignment="1" applyProtection="1">
      <alignment horizontal="right"/>
    </xf>
    <xf numFmtId="166" fontId="13" fillId="0" borderId="0" xfId="2" quotePrefix="1" applyNumberFormat="1" applyFont="1" applyFill="1" applyAlignment="1" applyProtection="1">
      <alignment horizontal="left"/>
      <protection locked="0"/>
    </xf>
    <xf numFmtId="166" fontId="21" fillId="0" borderId="0" xfId="2" quotePrefix="1" applyNumberFormat="1" applyFont="1" applyFill="1" applyAlignment="1" applyProtection="1">
      <alignment horizontal="left"/>
      <protection locked="0"/>
    </xf>
    <xf numFmtId="166" fontId="21" fillId="0" borderId="0" xfId="2" quotePrefix="1" applyNumberFormat="1" applyFont="1" applyFill="1" applyAlignment="1" applyProtection="1">
      <alignment horizontal="right"/>
      <protection locked="0"/>
    </xf>
    <xf numFmtId="49" fontId="38" fillId="0" borderId="0" xfId="2" applyNumberFormat="1" applyFont="1" applyFill="1" applyAlignment="1" applyProtection="1">
      <alignment horizontal="left"/>
      <protection locked="0"/>
    </xf>
    <xf numFmtId="1" fontId="21" fillId="0" borderId="1" xfId="2" applyNumberFormat="1" applyFont="1" applyFill="1" applyBorder="1" applyAlignment="1" applyProtection="1">
      <protection locked="0"/>
    </xf>
    <xf numFmtId="2" fontId="16" fillId="0" borderId="0" xfId="2" applyFont="1" applyFill="1" applyAlignment="1" applyProtection="1">
      <alignment horizontal="right"/>
    </xf>
    <xf numFmtId="166" fontId="16" fillId="0" borderId="0" xfId="2" quotePrefix="1" applyNumberFormat="1" applyFont="1" applyFill="1" applyAlignment="1" applyProtection="1">
      <alignment horizontal="right"/>
    </xf>
    <xf numFmtId="166" fontId="21" fillId="0" borderId="0" xfId="2" applyNumberFormat="1" applyFont="1" applyFill="1" applyAlignment="1" applyProtection="1">
      <alignment horizontal="right"/>
    </xf>
    <xf numFmtId="166" fontId="16" fillId="0" borderId="0" xfId="2" applyNumberFormat="1" applyFont="1" applyFill="1" applyAlignment="1" applyProtection="1">
      <alignment horizontal="right"/>
    </xf>
    <xf numFmtId="165" fontId="21" fillId="0" borderId="0" xfId="2" applyNumberFormat="1" applyFont="1" applyFill="1" applyAlignment="1" applyProtection="1">
      <alignment horizontal="right"/>
      <protection locked="0"/>
    </xf>
    <xf numFmtId="2" fontId="22" fillId="0" borderId="2" xfId="2" applyFont="1" applyFill="1" applyBorder="1" applyAlignment="1" applyProtection="1">
      <alignment horizontal="right" vertical="justify"/>
    </xf>
    <xf numFmtId="2" fontId="22" fillId="0" borderId="1" xfId="2" applyNumberFormat="1" applyFont="1" applyFill="1" applyBorder="1" applyAlignment="1" applyProtection="1">
      <protection locked="0"/>
    </xf>
    <xf numFmtId="166" fontId="22" fillId="0" borderId="1" xfId="2" applyNumberFormat="1" applyFont="1" applyFill="1" applyBorder="1" applyAlignment="1" applyProtection="1">
      <alignment horizontal="right"/>
    </xf>
    <xf numFmtId="166" fontId="22" fillId="0" borderId="1" xfId="2" applyNumberFormat="1" applyFont="1" applyFill="1" applyBorder="1" applyAlignment="1" applyProtection="1">
      <alignment horizontal="left"/>
      <protection locked="0"/>
    </xf>
    <xf numFmtId="2" fontId="39" fillId="0" borderId="0" xfId="2" applyNumberFormat="1" applyFont="1" applyFill="1" applyBorder="1" applyAlignment="1" applyProtection="1">
      <protection locked="0"/>
    </xf>
    <xf numFmtId="166" fontId="22" fillId="0" borderId="0" xfId="2" applyNumberFormat="1" applyFont="1" applyFill="1" applyBorder="1" applyAlignment="1" applyProtection="1">
      <alignment horizontal="right"/>
    </xf>
    <xf numFmtId="2" fontId="22" fillId="0" borderId="0" xfId="2" applyNumberFormat="1" applyFont="1" applyFill="1" applyBorder="1" applyAlignment="1" applyProtection="1">
      <alignment horizontal="fill"/>
    </xf>
    <xf numFmtId="2" fontId="22" fillId="0" borderId="0" xfId="2" applyNumberFormat="1" applyFont="1" applyFill="1" applyBorder="1" applyAlignment="1" applyProtection="1">
      <protection locked="0"/>
    </xf>
    <xf numFmtId="1" fontId="22" fillId="0" borderId="0" xfId="2" applyNumberFormat="1" applyFont="1" applyFill="1" applyBorder="1" applyAlignment="1" applyProtection="1"/>
    <xf numFmtId="1" fontId="22" fillId="0" borderId="0" xfId="2" applyNumberFormat="1" applyFont="1" applyFill="1" applyAlignment="1" applyProtection="1">
      <protection locked="0"/>
    </xf>
    <xf numFmtId="166" fontId="22" fillId="0" borderId="0" xfId="2" applyNumberFormat="1" applyFont="1" applyFill="1" applyAlignment="1" applyProtection="1">
      <alignment horizontal="left"/>
      <protection locked="0"/>
    </xf>
    <xf numFmtId="1" fontId="13" fillId="0" borderId="0" xfId="2" applyNumberFormat="1" applyFont="1" applyFill="1" applyBorder="1" applyAlignment="1" applyProtection="1"/>
    <xf numFmtId="2" fontId="22" fillId="0" borderId="0" xfId="2" applyNumberFormat="1" applyFont="1" applyFill="1" applyBorder="1" applyAlignment="1" applyProtection="1">
      <alignment horizontal="right"/>
    </xf>
    <xf numFmtId="2" fontId="13" fillId="0" borderId="0" xfId="2" applyNumberFormat="1" applyFont="1" applyFill="1" applyAlignment="1" applyProtection="1"/>
    <xf numFmtId="2" fontId="16" fillId="0" borderId="0" xfId="2" applyFont="1" applyFill="1" applyAlignment="1" applyProtection="1">
      <alignment horizontal="right"/>
      <protection locked="0"/>
    </xf>
    <xf numFmtId="2" fontId="22" fillId="0" borderId="2" xfId="2" applyFont="1" applyFill="1" applyBorder="1" applyAlignment="1" applyProtection="1">
      <alignment horizontal="right"/>
    </xf>
    <xf numFmtId="2" fontId="22" fillId="0" borderId="2" xfId="2" applyFont="1" applyFill="1" applyBorder="1" applyAlignment="1" applyProtection="1">
      <alignment horizontal="center"/>
    </xf>
    <xf numFmtId="166" fontId="22" fillId="0" borderId="0" xfId="2" applyNumberFormat="1" applyFont="1" applyFill="1" applyBorder="1" applyAlignment="1" applyProtection="1">
      <alignment horizontal="left"/>
      <protection locked="0"/>
    </xf>
    <xf numFmtId="166" fontId="22" fillId="0" borderId="2" xfId="2" applyNumberFormat="1" applyFont="1" applyFill="1" applyBorder="1" applyAlignment="1" applyProtection="1">
      <alignment horizontal="right"/>
    </xf>
    <xf numFmtId="2" fontId="22" fillId="0" borderId="13" xfId="2" applyNumberFormat="1" applyFont="1" applyFill="1" applyBorder="1" applyAlignment="1" applyProtection="1">
      <protection locked="0"/>
    </xf>
    <xf numFmtId="2" fontId="22" fillId="0" borderId="13" xfId="2" applyFont="1" applyFill="1" applyBorder="1" applyAlignment="1" applyProtection="1">
      <alignment horizontal="right"/>
      <protection locked="0"/>
    </xf>
    <xf numFmtId="166" fontId="22" fillId="0" borderId="13" xfId="2" applyNumberFormat="1" applyFont="1" applyFill="1" applyBorder="1" applyAlignment="1" applyProtection="1">
      <alignment horizontal="right"/>
      <protection locked="0"/>
    </xf>
    <xf numFmtId="166" fontId="22" fillId="0" borderId="13" xfId="2" applyNumberFormat="1" applyFont="1" applyFill="1" applyBorder="1" applyAlignment="1" applyProtection="1">
      <alignment horizontal="right"/>
    </xf>
    <xf numFmtId="2" fontId="22" fillId="0" borderId="13" xfId="2" applyNumberFormat="1" applyFont="1" applyFill="1" applyBorder="1" applyAlignment="1" applyProtection="1">
      <alignment horizontal="right"/>
    </xf>
    <xf numFmtId="2" fontId="40" fillId="0" borderId="0" xfId="2" applyNumberFormat="1" applyFont="1" applyFill="1" applyAlignment="1" applyProtection="1">
      <protection locked="0"/>
    </xf>
    <xf numFmtId="2" fontId="14" fillId="4" borderId="14" xfId="2" applyNumberFormat="1" applyFont="1" applyFill="1" applyBorder="1" applyAlignment="1" applyProtection="1"/>
    <xf numFmtId="2" fontId="15" fillId="4" borderId="15" xfId="2" applyNumberFormat="1" applyFont="1" applyFill="1" applyBorder="1" applyAlignment="1" applyProtection="1">
      <protection locked="0"/>
    </xf>
    <xf numFmtId="166" fontId="15" fillId="4" borderId="15" xfId="2" applyNumberFormat="1" applyFont="1" applyFill="1" applyBorder="1" applyAlignment="1" applyProtection="1">
      <alignment horizontal="center"/>
      <protection locked="0"/>
    </xf>
    <xf numFmtId="2" fontId="15" fillId="4" borderId="16" xfId="2" applyNumberFormat="1" applyFont="1" applyFill="1" applyBorder="1" applyAlignment="1" applyProtection="1">
      <protection locked="0"/>
    </xf>
    <xf numFmtId="2" fontId="13" fillId="0" borderId="17" xfId="2" applyNumberFormat="1" applyFont="1" applyFill="1" applyBorder="1" applyAlignment="1" applyProtection="1">
      <protection locked="0"/>
    </xf>
    <xf numFmtId="2" fontId="22" fillId="0" borderId="9" xfId="2" applyNumberFormat="1" applyFont="1" applyFill="1" applyBorder="1" applyAlignment="1" applyProtection="1">
      <alignment horizontal="left"/>
      <protection locked="0"/>
    </xf>
    <xf numFmtId="2" fontId="13" fillId="0" borderId="9" xfId="2" applyNumberFormat="1" applyFont="1" applyFill="1" applyBorder="1" applyAlignment="1" applyProtection="1">
      <alignment horizontal="left"/>
      <protection locked="0"/>
    </xf>
    <xf numFmtId="2" fontId="13" fillId="0" borderId="18" xfId="2" applyNumberFormat="1" applyFont="1" applyFill="1" applyBorder="1" applyAlignment="1" applyProtection="1">
      <alignment horizontal="left"/>
      <protection locked="0"/>
    </xf>
    <xf numFmtId="2" fontId="40" fillId="0" borderId="19" xfId="2" applyFont="1" applyFill="1" applyBorder="1" applyAlignment="1" applyProtection="1">
      <protection locked="0"/>
    </xf>
    <xf numFmtId="2" fontId="32" fillId="0" borderId="0" xfId="2" applyFont="1" applyFill="1" applyBorder="1" applyAlignment="1" applyProtection="1">
      <alignment horizontal="right"/>
      <protection locked="0"/>
    </xf>
    <xf numFmtId="2" fontId="13" fillId="0" borderId="0" xfId="2" applyFont="1" applyFill="1" applyBorder="1" applyAlignment="1" applyProtection="1">
      <alignment horizontal="right"/>
      <protection locked="0"/>
    </xf>
    <xf numFmtId="166" fontId="13" fillId="0" borderId="0" xfId="2" applyNumberFormat="1" applyFont="1" applyFill="1" applyBorder="1" applyAlignment="1" applyProtection="1">
      <alignment horizontal="right"/>
      <protection locked="0"/>
    </xf>
    <xf numFmtId="2" fontId="13" fillId="0" borderId="20" xfId="2" applyFont="1" applyFill="1" applyBorder="1" applyAlignment="1" applyProtection="1">
      <alignment horizontal="right"/>
      <protection locked="0"/>
    </xf>
    <xf numFmtId="2" fontId="13" fillId="0" borderId="21" xfId="2" applyNumberFormat="1" applyFont="1" applyFill="1" applyBorder="1" applyAlignment="1" applyProtection="1">
      <protection locked="0"/>
    </xf>
    <xf numFmtId="2" fontId="32" fillId="0" borderId="1" xfId="2" applyFont="1" applyFill="1" applyBorder="1" applyAlignment="1" applyProtection="1">
      <alignment horizontal="right"/>
      <protection locked="0"/>
    </xf>
    <xf numFmtId="2" fontId="13" fillId="0" borderId="22" xfId="2" applyFont="1" applyFill="1" applyBorder="1" applyAlignment="1" applyProtection="1">
      <alignment horizontal="right"/>
      <protection locked="0"/>
    </xf>
    <xf numFmtId="2" fontId="13" fillId="0" borderId="19" xfId="2" applyNumberFormat="1" applyFont="1" applyFill="1" applyBorder="1" applyAlignment="1" applyProtection="1">
      <alignment horizontal="left"/>
      <protection locked="0"/>
    </xf>
    <xf numFmtId="166" fontId="13" fillId="0" borderId="20" xfId="2" applyNumberFormat="1" applyFont="1" applyFill="1" applyBorder="1" applyAlignment="1" applyProtection="1">
      <alignment horizontal="right"/>
      <protection locked="0"/>
    </xf>
    <xf numFmtId="1" fontId="21" fillId="0" borderId="19" xfId="2" applyNumberFormat="1" applyFont="1" applyFill="1" applyBorder="1" applyAlignment="1" applyProtection="1">
      <alignment horizontal="center"/>
      <protection locked="0"/>
    </xf>
    <xf numFmtId="2" fontId="41" fillId="0" borderId="0" xfId="2" applyFont="1" applyFill="1" applyBorder="1" applyAlignment="1" applyProtection="1">
      <protection locked="0"/>
    </xf>
    <xf numFmtId="1" fontId="21" fillId="0" borderId="0" xfId="2" applyNumberFormat="1" applyFont="1" applyFill="1" applyBorder="1" applyAlignment="1" applyProtection="1">
      <alignment horizontal="right"/>
      <protection locked="0"/>
    </xf>
    <xf numFmtId="2" fontId="21" fillId="0" borderId="0" xfId="2" applyFont="1" applyFill="1" applyBorder="1" applyAlignment="1" applyProtection="1">
      <alignment horizontal="right"/>
      <protection locked="0"/>
    </xf>
    <xf numFmtId="4" fontId="21" fillId="0" borderId="0" xfId="2" quotePrefix="1" applyNumberFormat="1" applyFont="1" applyFill="1" applyBorder="1" applyAlignment="1" applyProtection="1">
      <alignment horizontal="right"/>
      <protection locked="0"/>
    </xf>
    <xf numFmtId="166" fontId="21" fillId="0" borderId="0" xfId="2" quotePrefix="1" applyNumberFormat="1" applyFont="1" applyFill="1" applyBorder="1" applyAlignment="1" applyProtection="1">
      <alignment horizontal="right"/>
      <protection locked="0"/>
    </xf>
    <xf numFmtId="166" fontId="21" fillId="0" borderId="20" xfId="2" applyNumberFormat="1" applyFont="1" applyFill="1" applyBorder="1" applyAlignment="1" applyProtection="1">
      <alignment horizontal="right"/>
      <protection locked="0"/>
    </xf>
    <xf numFmtId="2" fontId="13" fillId="0" borderId="0" xfId="2" applyFont="1" applyFill="1" applyAlignment="1" applyProtection="1">
      <alignment horizontal="center"/>
      <protection locked="0"/>
    </xf>
    <xf numFmtId="2" fontId="13" fillId="0" borderId="0" xfId="2" applyFill="1" applyProtection="1">
      <protection locked="0"/>
    </xf>
    <xf numFmtId="9" fontId="21" fillId="0" borderId="19" xfId="2" applyNumberFormat="1" applyFont="1" applyFill="1" applyBorder="1" applyAlignment="1" applyProtection="1">
      <alignment horizontal="center"/>
      <protection locked="0"/>
    </xf>
    <xf numFmtId="2" fontId="16" fillId="0" borderId="0" xfId="2" quotePrefix="1" applyFont="1" applyFill="1" applyBorder="1" applyAlignment="1" applyProtection="1">
      <alignment horizontal="right"/>
    </xf>
    <xf numFmtId="4" fontId="13" fillId="0" borderId="0" xfId="2" applyNumberFormat="1" applyFont="1" applyFill="1" applyBorder="1" applyAlignment="1" applyProtection="1">
      <alignment horizontal="right"/>
      <protection locked="0"/>
    </xf>
    <xf numFmtId="2" fontId="21" fillId="0" borderId="19" xfId="2" applyNumberFormat="1" applyFont="1" applyFill="1" applyBorder="1" applyAlignment="1" applyProtection="1">
      <alignment horizontal="center"/>
      <protection locked="0"/>
    </xf>
    <xf numFmtId="2" fontId="13" fillId="0" borderId="0" xfId="2" applyNumberFormat="1" applyFont="1" applyFill="1" applyBorder="1" applyAlignment="1" applyProtection="1">
      <alignment horizontal="right"/>
    </xf>
    <xf numFmtId="166" fontId="13" fillId="0" borderId="0" xfId="2" applyNumberFormat="1" applyFont="1" applyFill="1" applyBorder="1" applyAlignment="1" applyProtection="1">
      <alignment horizontal="right"/>
    </xf>
    <xf numFmtId="166" fontId="13" fillId="0" borderId="20" xfId="2" applyNumberFormat="1" applyFont="1" applyFill="1" applyBorder="1" applyAlignment="1" applyProtection="1">
      <alignment horizontal="right"/>
    </xf>
    <xf numFmtId="2" fontId="16" fillId="0" borderId="19" xfId="2" applyNumberFormat="1" applyFont="1" applyFill="1" applyBorder="1" applyAlignment="1" applyProtection="1">
      <alignment horizontal="left"/>
      <protection locked="0"/>
    </xf>
    <xf numFmtId="2" fontId="13" fillId="0" borderId="0" xfId="2" applyNumberFormat="1" applyFont="1" applyFill="1" applyBorder="1" applyAlignment="1" applyProtection="1">
      <alignment horizontal="right"/>
      <protection locked="0"/>
    </xf>
    <xf numFmtId="2" fontId="13" fillId="0" borderId="19" xfId="2" applyNumberFormat="1" applyFont="1" applyFill="1" applyBorder="1" applyAlignment="1" applyProtection="1">
      <protection locked="0"/>
    </xf>
    <xf numFmtId="2" fontId="13" fillId="0" borderId="17" xfId="2" applyFill="1" applyBorder="1" applyProtection="1">
      <protection locked="0"/>
    </xf>
    <xf numFmtId="2" fontId="13" fillId="0" borderId="9" xfId="2" applyFont="1" applyFill="1" applyBorder="1" applyAlignment="1" applyProtection="1">
      <alignment horizontal="center"/>
      <protection locked="0"/>
    </xf>
    <xf numFmtId="166" fontId="13" fillId="0" borderId="9" xfId="2" applyNumberFormat="1" applyFont="1" applyFill="1" applyBorder="1" applyAlignment="1" applyProtection="1">
      <alignment horizontal="right"/>
      <protection locked="0"/>
    </xf>
    <xf numFmtId="2" fontId="13" fillId="0" borderId="9" xfId="2" applyFont="1" applyFill="1" applyBorder="1" applyAlignment="1" applyProtection="1">
      <alignment horizontal="left"/>
      <protection locked="0"/>
    </xf>
    <xf numFmtId="2" fontId="13" fillId="0" borderId="18" xfId="2" applyFont="1" applyFill="1" applyBorder="1" applyAlignment="1" applyProtection="1">
      <alignment horizontal="center"/>
      <protection locked="0"/>
    </xf>
    <xf numFmtId="2" fontId="13" fillId="0" borderId="23" xfId="2" applyFill="1" applyBorder="1" applyProtection="1"/>
    <xf numFmtId="2" fontId="22" fillId="0" borderId="24" xfId="2" applyNumberFormat="1" applyFont="1" applyFill="1" applyBorder="1" applyAlignment="1" applyProtection="1"/>
    <xf numFmtId="166" fontId="13" fillId="0" borderId="24" xfId="2" applyNumberFormat="1" applyFont="1" applyFill="1" applyBorder="1" applyAlignment="1" applyProtection="1">
      <alignment horizontal="center"/>
    </xf>
    <xf numFmtId="2" fontId="13" fillId="0" borderId="24" xfId="2" applyNumberFormat="1" applyFont="1" applyFill="1" applyBorder="1" applyAlignment="1" applyProtection="1"/>
    <xf numFmtId="2" fontId="13" fillId="0" borderId="25" xfId="2" applyNumberFormat="1" applyFont="1" applyFill="1" applyBorder="1" applyAlignment="1" applyProtection="1"/>
    <xf numFmtId="2" fontId="13" fillId="0" borderId="19" xfId="2" applyNumberFormat="1" applyFont="1" applyFill="1" applyBorder="1" applyAlignment="1" applyProtection="1">
      <alignment horizontal="center"/>
    </xf>
    <xf numFmtId="2" fontId="22" fillId="0" borderId="26" xfId="2" applyNumberFormat="1" applyFont="1" applyFill="1" applyBorder="1" applyAlignment="1" applyProtection="1">
      <alignment horizontal="left"/>
    </xf>
    <xf numFmtId="2" fontId="22" fillId="0" borderId="0" xfId="2" applyNumberFormat="1" applyFont="1" applyFill="1" applyBorder="1" applyAlignment="1" applyProtection="1">
      <alignment horizontal="left"/>
    </xf>
    <xf numFmtId="2" fontId="13" fillId="0" borderId="0" xfId="2" applyNumberFormat="1" applyFont="1" applyFill="1" applyBorder="1" applyAlignment="1" applyProtection="1"/>
    <xf numFmtId="2" fontId="13" fillId="0" borderId="0" xfId="2" applyFont="1" applyFill="1" applyBorder="1" applyAlignment="1" applyProtection="1"/>
    <xf numFmtId="166" fontId="22" fillId="0" borderId="0" xfId="2" applyNumberFormat="1" applyFont="1" applyFill="1" applyBorder="1" applyAlignment="1" applyProtection="1">
      <alignment horizontal="center"/>
    </xf>
    <xf numFmtId="2" fontId="13" fillId="0" borderId="16" xfId="2" applyNumberFormat="1" applyFont="1" applyFill="1" applyBorder="1" applyAlignment="1" applyProtection="1"/>
    <xf numFmtId="2" fontId="13" fillId="0" borderId="27" xfId="2" applyNumberFormat="1" applyFont="1" applyFill="1" applyBorder="1" applyAlignment="1" applyProtection="1">
      <alignment horizontal="center"/>
    </xf>
    <xf numFmtId="166" fontId="13" fillId="0" borderId="0" xfId="2" applyNumberFormat="1" applyFont="1" applyFill="1" applyBorder="1" applyAlignment="1" applyProtection="1">
      <alignment horizontal="center"/>
    </xf>
    <xf numFmtId="2" fontId="13" fillId="0" borderId="20" xfId="2" applyNumberFormat="1" applyFont="1" applyFill="1" applyBorder="1" applyAlignment="1" applyProtection="1"/>
    <xf numFmtId="2" fontId="13" fillId="0" borderId="28" xfId="2" applyNumberFormat="1" applyFont="1" applyFill="1" applyBorder="1" applyAlignment="1" applyProtection="1">
      <alignment horizontal="center"/>
    </xf>
    <xf numFmtId="2" fontId="13" fillId="0" borderId="29" xfId="2" applyNumberFormat="1" applyFont="1" applyFill="1" applyBorder="1" applyAlignment="1" applyProtection="1">
      <alignment horizontal="center"/>
    </xf>
    <xf numFmtId="166" fontId="13" fillId="0" borderId="30" xfId="2" applyNumberFormat="1" applyFont="1" applyFill="1" applyBorder="1" applyAlignment="1" applyProtection="1">
      <alignment horizontal="right"/>
    </xf>
    <xf numFmtId="166" fontId="13" fillId="0" borderId="30" xfId="2" quotePrefix="1" applyNumberFormat="1" applyFont="1" applyFill="1" applyBorder="1" applyAlignment="1" applyProtection="1">
      <alignment horizontal="right"/>
    </xf>
    <xf numFmtId="166" fontId="13" fillId="0" borderId="31" xfId="2" applyNumberFormat="1" applyFont="1" applyFill="1" applyBorder="1" applyAlignment="1" applyProtection="1">
      <alignment horizontal="right"/>
    </xf>
    <xf numFmtId="2" fontId="13" fillId="0" borderId="32" xfId="2" applyNumberFormat="1" applyFont="1" applyFill="1" applyBorder="1" applyAlignment="1" applyProtection="1">
      <alignment horizontal="center"/>
    </xf>
    <xf numFmtId="2" fontId="13" fillId="0" borderId="33" xfId="2" applyNumberFormat="1" applyFont="1" applyFill="1" applyBorder="1" applyAlignment="1" applyProtection="1">
      <alignment horizontal="center"/>
    </xf>
    <xf numFmtId="2" fontId="13" fillId="0" borderId="6" xfId="2" applyNumberFormat="1" applyFont="1" applyFill="1" applyBorder="1" applyAlignment="1" applyProtection="1">
      <alignment horizontal="right"/>
    </xf>
    <xf numFmtId="40" fontId="13" fillId="0" borderId="6" xfId="2" applyNumberFormat="1" applyFont="1" applyFill="1" applyBorder="1" applyAlignment="1" applyProtection="1">
      <alignment horizontal="center"/>
    </xf>
    <xf numFmtId="40" fontId="13" fillId="0" borderId="6" xfId="2" applyNumberFormat="1" applyFont="1" applyFill="1" applyBorder="1" applyAlignment="1" applyProtection="1">
      <alignment horizontal="right"/>
    </xf>
    <xf numFmtId="40" fontId="13" fillId="0" borderId="34" xfId="2" applyNumberFormat="1" applyFont="1" applyFill="1" applyBorder="1" applyAlignment="1" applyProtection="1">
      <alignment horizontal="right"/>
    </xf>
    <xf numFmtId="1" fontId="13" fillId="0" borderId="35" xfId="2" applyNumberFormat="1" applyFont="1" applyFill="1" applyBorder="1" applyAlignment="1" applyProtection="1">
      <alignment horizontal="center"/>
    </xf>
    <xf numFmtId="166" fontId="13" fillId="0" borderId="0" xfId="2" quotePrefix="1" applyNumberFormat="1" applyFont="1" applyFill="1" applyBorder="1" applyAlignment="1" applyProtection="1">
      <alignment horizontal="center"/>
    </xf>
    <xf numFmtId="8" fontId="13" fillId="0" borderId="0" xfId="2" quotePrefix="1" applyNumberFormat="1" applyFont="1" applyFill="1" applyBorder="1" applyAlignment="1" applyProtection="1">
      <alignment horizontal="right"/>
    </xf>
    <xf numFmtId="8" fontId="13" fillId="0" borderId="20" xfId="2" applyNumberFormat="1" applyFont="1" applyFill="1" applyBorder="1" applyAlignment="1" applyProtection="1">
      <alignment horizontal="right"/>
    </xf>
    <xf numFmtId="2" fontId="13" fillId="0" borderId="36" xfId="2" applyNumberFormat="1" applyFont="1" applyFill="1" applyBorder="1" applyAlignment="1" applyProtection="1">
      <alignment horizontal="center"/>
    </xf>
    <xf numFmtId="8" fontId="13" fillId="0" borderId="0" xfId="2" applyNumberFormat="1" applyFont="1" applyFill="1" applyBorder="1" applyAlignment="1" applyProtection="1">
      <alignment horizontal="right"/>
    </xf>
    <xf numFmtId="2" fontId="13" fillId="0" borderId="35" xfId="2" applyNumberFormat="1" applyFont="1" applyFill="1" applyBorder="1" applyAlignment="1" applyProtection="1">
      <alignment horizontal="center"/>
    </xf>
    <xf numFmtId="2" fontId="13" fillId="0" borderId="37" xfId="2" applyFill="1" applyBorder="1" applyAlignment="1" applyProtection="1">
      <alignment horizontal="center"/>
    </xf>
    <xf numFmtId="2" fontId="13" fillId="0" borderId="38" xfId="2" applyNumberFormat="1" applyFont="1" applyFill="1" applyBorder="1" applyAlignment="1" applyProtection="1">
      <alignment horizontal="center"/>
    </xf>
    <xf numFmtId="166" fontId="13" fillId="0" borderId="9" xfId="2" applyNumberFormat="1" applyFont="1" applyFill="1" applyBorder="1" applyAlignment="1" applyProtection="1">
      <alignment horizontal="center"/>
    </xf>
    <xf numFmtId="2" fontId="13" fillId="0" borderId="18" xfId="2" applyNumberFormat="1" applyFont="1" applyFill="1" applyBorder="1" applyAlignment="1" applyProtection="1"/>
    <xf numFmtId="9" fontId="42" fillId="0" borderId="0" xfId="2" applyNumberFormat="1" applyFont="1" applyFill="1" applyProtection="1">
      <protection locked="0"/>
    </xf>
    <xf numFmtId="2" fontId="13" fillId="0" borderId="14" xfId="2" applyFill="1" applyBorder="1" applyProtection="1">
      <protection locked="0"/>
    </xf>
    <xf numFmtId="2" fontId="22" fillId="0" borderId="15" xfId="2" applyNumberFormat="1" applyFont="1" applyFill="1" applyBorder="1" applyAlignment="1" applyProtection="1">
      <protection locked="0"/>
    </xf>
    <xf numFmtId="2" fontId="13" fillId="0" borderId="15" xfId="2" applyNumberFormat="1" applyFont="1" applyFill="1" applyBorder="1" applyAlignment="1" applyProtection="1">
      <protection locked="0"/>
    </xf>
    <xf numFmtId="166" fontId="13" fillId="0" borderId="15" xfId="2" applyNumberFormat="1" applyFont="1" applyFill="1" applyBorder="1" applyAlignment="1" applyProtection="1">
      <alignment horizontal="center"/>
      <protection locked="0"/>
    </xf>
    <xf numFmtId="2" fontId="13" fillId="0" borderId="16" xfId="2" applyNumberFormat="1" applyFont="1" applyFill="1" applyBorder="1" applyAlignment="1" applyProtection="1">
      <protection locked="0"/>
    </xf>
    <xf numFmtId="2" fontId="13" fillId="0" borderId="15" xfId="2" applyFont="1" applyFill="1" applyBorder="1" applyAlignment="1" applyProtection="1">
      <alignment horizontal="right"/>
      <protection locked="0"/>
    </xf>
    <xf numFmtId="166" fontId="13" fillId="0" borderId="15" xfId="2" applyNumberFormat="1" applyFont="1" applyFill="1" applyBorder="1" applyAlignment="1" applyProtection="1">
      <alignment horizontal="right"/>
      <protection locked="0"/>
    </xf>
    <xf numFmtId="2" fontId="13" fillId="0" borderId="16" xfId="2" applyFont="1" applyFill="1" applyBorder="1" applyAlignment="1" applyProtection="1">
      <alignment horizontal="right"/>
      <protection locked="0"/>
    </xf>
    <xf numFmtId="2" fontId="13" fillId="0" borderId="21" xfId="2" applyNumberFormat="1" applyFont="1" applyFill="1" applyBorder="1" applyAlignment="1" applyProtection="1">
      <alignment horizontal="center"/>
      <protection locked="0"/>
    </xf>
    <xf numFmtId="166" fontId="21" fillId="0" borderId="19" xfId="2" applyNumberFormat="1" applyFont="1" applyFill="1" applyBorder="1" applyAlignment="1" applyProtection="1">
      <alignment horizontal="center"/>
    </xf>
    <xf numFmtId="166" fontId="21" fillId="0" borderId="0" xfId="2" quotePrefix="1" applyNumberFormat="1" applyFont="1" applyFill="1" applyBorder="1" applyAlignment="1" applyProtection="1">
      <alignment horizontal="left"/>
      <protection locked="0"/>
    </xf>
    <xf numFmtId="166" fontId="21" fillId="0" borderId="0" xfId="2" applyNumberFormat="1" applyFont="1" applyFill="1" applyBorder="1" applyAlignment="1" applyProtection="1">
      <alignment horizontal="left"/>
      <protection locked="0"/>
    </xf>
    <xf numFmtId="0" fontId="21" fillId="0" borderId="0" xfId="2" applyNumberFormat="1" applyFont="1" applyFill="1" applyBorder="1" applyAlignment="1" applyProtection="1">
      <alignment horizontal="left"/>
      <protection locked="0"/>
    </xf>
    <xf numFmtId="166" fontId="16" fillId="0" borderId="0" xfId="2" applyNumberFormat="1" applyFont="1" applyFill="1" applyBorder="1" applyAlignment="1" applyProtection="1">
      <alignment horizontal="right"/>
    </xf>
    <xf numFmtId="2" fontId="21" fillId="0" borderId="20" xfId="2" applyFont="1" applyFill="1" applyBorder="1" applyAlignment="1" applyProtection="1">
      <alignment horizontal="right"/>
      <protection locked="0"/>
    </xf>
    <xf numFmtId="166" fontId="21" fillId="0" borderId="19" xfId="2" quotePrefix="1" applyNumberFormat="1" applyFont="1" applyFill="1" applyBorder="1" applyAlignment="1" applyProtection="1">
      <alignment horizontal="center"/>
    </xf>
    <xf numFmtId="166" fontId="21" fillId="0" borderId="21" xfId="2" quotePrefix="1" applyNumberFormat="1" applyFont="1" applyFill="1" applyBorder="1" applyAlignment="1" applyProtection="1">
      <alignment horizontal="center"/>
    </xf>
    <xf numFmtId="2" fontId="21" fillId="0" borderId="1" xfId="2" applyFont="1" applyFill="1" applyBorder="1" applyAlignment="1" applyProtection="1">
      <protection locked="0"/>
    </xf>
    <xf numFmtId="2" fontId="21" fillId="0" borderId="1" xfId="2" applyNumberFormat="1" applyFont="1" applyFill="1" applyBorder="1" applyAlignment="1" applyProtection="1">
      <protection locked="0"/>
    </xf>
    <xf numFmtId="2" fontId="21" fillId="0" borderId="1" xfId="2" applyFont="1" applyFill="1" applyBorder="1" applyAlignment="1" applyProtection="1">
      <alignment horizontal="center"/>
      <protection locked="0"/>
    </xf>
    <xf numFmtId="166" fontId="21" fillId="0" borderId="1" xfId="2" applyNumberFormat="1" applyFont="1" applyFill="1" applyBorder="1" applyAlignment="1" applyProtection="1">
      <alignment horizontal="right"/>
      <protection locked="0"/>
    </xf>
    <xf numFmtId="166" fontId="16" fillId="0" borderId="1" xfId="2" applyNumberFormat="1" applyFont="1" applyFill="1" applyBorder="1" applyAlignment="1" applyProtection="1">
      <alignment horizontal="right"/>
    </xf>
    <xf numFmtId="2" fontId="21" fillId="0" borderId="22" xfId="2" applyFont="1" applyFill="1" applyBorder="1" applyAlignment="1" applyProtection="1">
      <alignment horizontal="center"/>
      <protection locked="0"/>
    </xf>
    <xf numFmtId="166" fontId="13" fillId="0" borderId="19" xfId="2" quotePrefix="1" applyNumberFormat="1" applyFont="1" applyFill="1" applyBorder="1" applyAlignment="1" applyProtection="1">
      <alignment horizontal="center"/>
      <protection locked="0"/>
    </xf>
    <xf numFmtId="2" fontId="21" fillId="0" borderId="6" xfId="2" applyNumberFormat="1" applyFont="1" applyFill="1" applyBorder="1" applyAlignment="1" applyProtection="1">
      <protection locked="0"/>
    </xf>
    <xf numFmtId="2" fontId="13" fillId="0" borderId="0" xfId="2" applyFont="1" applyFill="1" applyBorder="1" applyAlignment="1" applyProtection="1">
      <alignment horizontal="center"/>
      <protection locked="0"/>
    </xf>
    <xf numFmtId="166" fontId="13" fillId="0" borderId="0" xfId="2" applyNumberFormat="1" applyFont="1" applyFill="1" applyBorder="1" applyAlignment="1" applyProtection="1">
      <alignment horizontal="center"/>
      <protection locked="0"/>
    </xf>
    <xf numFmtId="2" fontId="13" fillId="0" borderId="20" xfId="2" applyFont="1" applyFill="1" applyBorder="1" applyAlignment="1" applyProtection="1">
      <alignment horizontal="center"/>
      <protection locked="0"/>
    </xf>
    <xf numFmtId="2" fontId="32" fillId="0" borderId="17" xfId="2" applyFont="1" applyFill="1" applyBorder="1" applyProtection="1">
      <protection locked="0"/>
    </xf>
    <xf numFmtId="2" fontId="21" fillId="0" borderId="9" xfId="2" applyNumberFormat="1" applyFont="1" applyFill="1" applyBorder="1" applyAlignment="1" applyProtection="1">
      <protection locked="0"/>
    </xf>
    <xf numFmtId="2" fontId="13" fillId="0" borderId="18" xfId="2" applyFill="1" applyBorder="1" applyProtection="1">
      <protection locked="0"/>
    </xf>
    <xf numFmtId="2" fontId="43" fillId="0" borderId="0" xfId="2" applyNumberFormat="1" applyFont="1" applyFill="1" applyAlignment="1" applyProtection="1">
      <alignment horizontal="left"/>
      <protection locked="0"/>
    </xf>
    <xf numFmtId="166" fontId="13" fillId="0" borderId="0" xfId="2" applyNumberFormat="1" applyFill="1" applyAlignment="1" applyProtection="1">
      <alignment horizontal="center"/>
      <protection locked="0"/>
    </xf>
    <xf numFmtId="2" fontId="33" fillId="0" borderId="0" xfId="2" applyFont="1" applyFill="1" applyAlignment="1" applyProtection="1">
      <alignment horizontal="center"/>
    </xf>
    <xf numFmtId="166" fontId="13" fillId="0" borderId="0" xfId="2" applyNumberFormat="1" applyFill="1" applyAlignment="1" applyProtection="1">
      <alignment horizontal="center"/>
    </xf>
    <xf numFmtId="2" fontId="13" fillId="0" borderId="0" xfId="2" applyFill="1" applyProtection="1"/>
    <xf numFmtId="166" fontId="13" fillId="0" borderId="0" xfId="2" applyNumberFormat="1" applyFont="1" applyFill="1" applyAlignment="1" applyProtection="1">
      <alignment horizontal="center"/>
    </xf>
    <xf numFmtId="2" fontId="33" fillId="0" borderId="0" xfId="2" applyFont="1" applyFill="1" applyAlignment="1" applyProtection="1">
      <alignment horizontal="center"/>
      <protection locked="0"/>
    </xf>
    <xf numFmtId="166" fontId="13" fillId="0" borderId="0" xfId="2" applyNumberFormat="1" applyAlignment="1" applyProtection="1">
      <alignment horizontal="center"/>
      <protection locked="0"/>
    </xf>
    <xf numFmtId="2" fontId="32" fillId="0" borderId="0" xfId="2" applyNumberFormat="1" applyFont="1" applyFill="1" applyAlignment="1" applyProtection="1">
      <alignment horizontal="center"/>
      <protection locked="0"/>
    </xf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9" xfId="0" applyFont="1" applyBorder="1"/>
    <xf numFmtId="0" fontId="44" fillId="0" borderId="0" xfId="0" applyFont="1"/>
    <xf numFmtId="0" fontId="3" fillId="8" borderId="23" xfId="0" applyFont="1" applyFill="1" applyBorder="1"/>
    <xf numFmtId="0" fontId="3" fillId="8" borderId="39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3" fillId="8" borderId="24" xfId="0" applyFont="1" applyFill="1" applyBorder="1"/>
    <xf numFmtId="0" fontId="3" fillId="8" borderId="24" xfId="0" applyFont="1" applyFill="1" applyBorder="1" applyAlignment="1">
      <alignment horizontal="center"/>
    </xf>
    <xf numFmtId="0" fontId="2" fillId="0" borderId="19" xfId="0" applyFont="1" applyBorder="1"/>
    <xf numFmtId="6" fontId="45" fillId="6" borderId="27" xfId="0" applyNumberFormat="1" applyFont="1" applyFill="1" applyBorder="1" applyProtection="1">
      <protection locked="0"/>
    </xf>
    <xf numFmtId="6" fontId="45" fillId="6" borderId="20" xfId="0" applyNumberFormat="1" applyFont="1" applyFill="1" applyBorder="1" applyProtection="1">
      <protection locked="0"/>
    </xf>
    <xf numFmtId="0" fontId="3" fillId="0" borderId="19" xfId="0" applyFont="1" applyBorder="1"/>
    <xf numFmtId="0" fontId="2" fillId="0" borderId="26" xfId="0" applyFont="1" applyBorder="1"/>
    <xf numFmtId="0" fontId="2" fillId="0" borderId="20" xfId="0" applyFont="1" applyBorder="1"/>
    <xf numFmtId="2" fontId="2" fillId="0" borderId="27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9" fontId="2" fillId="0" borderId="27" xfId="1" applyFont="1" applyBorder="1" applyAlignment="1">
      <alignment horizontal="center"/>
    </xf>
    <xf numFmtId="9" fontId="2" fillId="0" borderId="20" xfId="1" applyFont="1" applyBorder="1" applyAlignment="1">
      <alignment horizontal="center"/>
    </xf>
    <xf numFmtId="9" fontId="2" fillId="0" borderId="0" xfId="0" applyNumberFormat="1" applyFont="1"/>
    <xf numFmtId="0" fontId="3" fillId="0" borderId="14" xfId="0" applyFont="1" applyBorder="1"/>
    <xf numFmtId="0" fontId="2" fillId="0" borderId="15" xfId="0" applyFont="1" applyBorder="1"/>
    <xf numFmtId="0" fontId="2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6" fontId="2" fillId="0" borderId="27" xfId="0" applyNumberFormat="1" applyFont="1" applyBorder="1"/>
    <xf numFmtId="6" fontId="2" fillId="0" borderId="20" xfId="0" applyNumberFormat="1" applyFont="1" applyBorder="1"/>
    <xf numFmtId="0" fontId="3" fillId="0" borderId="17" xfId="0" applyFont="1" applyBorder="1"/>
    <xf numFmtId="9" fontId="2" fillId="0" borderId="40" xfId="1" applyFont="1" applyBorder="1" applyAlignment="1">
      <alignment horizontal="center"/>
    </xf>
    <xf numFmtId="9" fontId="2" fillId="0" borderId="18" xfId="1" applyFont="1" applyBorder="1" applyAlignment="1">
      <alignment horizontal="center"/>
    </xf>
    <xf numFmtId="6" fontId="2" fillId="0" borderId="40" xfId="0" applyNumberFormat="1" applyFont="1" applyBorder="1"/>
    <xf numFmtId="0" fontId="2" fillId="0" borderId="2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8" borderId="24" xfId="0" applyFont="1" applyFill="1" applyBorder="1"/>
    <xf numFmtId="0" fontId="2" fillId="8" borderId="25" xfId="0" applyFont="1" applyFill="1" applyBorder="1"/>
    <xf numFmtId="6" fontId="45" fillId="6" borderId="26" xfId="0" applyNumberFormat="1" applyFont="1" applyFill="1" applyBorder="1" applyProtection="1">
      <protection locked="0"/>
    </xf>
    <xf numFmtId="176" fontId="2" fillId="0" borderId="27" xfId="3" applyNumberFormat="1" applyFont="1" applyBorder="1" applyAlignment="1">
      <alignment horizontal="center"/>
    </xf>
    <xf numFmtId="176" fontId="2" fillId="0" borderId="20" xfId="3" applyNumberFormat="1" applyFont="1" applyBorder="1" applyAlignment="1">
      <alignment horizontal="center"/>
    </xf>
    <xf numFmtId="0" fontId="2" fillId="0" borderId="40" xfId="0" applyFont="1" applyBorder="1"/>
    <xf numFmtId="0" fontId="2" fillId="0" borderId="17" xfId="0" applyFont="1" applyBorder="1"/>
    <xf numFmtId="6" fontId="45" fillId="6" borderId="40" xfId="0" applyNumberFormat="1" applyFont="1" applyFill="1" applyBorder="1" applyProtection="1">
      <protection locked="0"/>
    </xf>
    <xf numFmtId="6" fontId="45" fillId="6" borderId="18" xfId="0" applyNumberFormat="1" applyFont="1" applyFill="1" applyBorder="1" applyProtection="1">
      <protection locked="0"/>
    </xf>
    <xf numFmtId="0" fontId="47" fillId="0" borderId="0" xfId="0" applyFont="1"/>
    <xf numFmtId="0" fontId="7" fillId="9" borderId="0" xfId="0" applyFont="1" applyFill="1"/>
    <xf numFmtId="0" fontId="47" fillId="9" borderId="0" xfId="0" applyFont="1" applyFill="1"/>
    <xf numFmtId="0" fontId="7" fillId="0" borderId="0" xfId="0" applyFont="1"/>
    <xf numFmtId="6" fontId="48" fillId="6" borderId="1" xfId="0" applyNumberFormat="1" applyFont="1" applyFill="1" applyBorder="1" applyProtection="1">
      <protection locked="0"/>
    </xf>
    <xf numFmtId="0" fontId="7" fillId="0" borderId="0" xfId="0" applyFont="1" applyAlignment="1">
      <alignment horizontal="center"/>
    </xf>
    <xf numFmtId="6" fontId="7" fillId="0" borderId="0" xfId="0" applyNumberFormat="1" applyFont="1" applyFill="1"/>
    <xf numFmtId="0" fontId="7" fillId="10" borderId="0" xfId="0" applyFont="1" applyFill="1"/>
    <xf numFmtId="0" fontId="47" fillId="10" borderId="0" xfId="0" quotePrefix="1" applyFont="1" applyFill="1"/>
    <xf numFmtId="6" fontId="48" fillId="10" borderId="1" xfId="0" applyNumberFormat="1" applyFont="1" applyFill="1" applyBorder="1"/>
    <xf numFmtId="6" fontId="47" fillId="10" borderId="0" xfId="0" applyNumberFormat="1" applyFont="1" applyFill="1"/>
    <xf numFmtId="6" fontId="47" fillId="10" borderId="0" xfId="0" quotePrefix="1" applyNumberFormat="1" applyFont="1" applyFill="1" applyAlignment="1">
      <alignment horizontal="right"/>
    </xf>
    <xf numFmtId="6" fontId="7" fillId="10" borderId="1" xfId="0" applyNumberFormat="1" applyFont="1" applyFill="1" applyBorder="1"/>
    <xf numFmtId="6" fontId="48" fillId="10" borderId="3" xfId="0" applyNumberFormat="1" applyFont="1" applyFill="1" applyBorder="1"/>
    <xf numFmtId="0" fontId="47" fillId="10" borderId="0" xfId="0" applyFont="1" applyFill="1" applyBorder="1"/>
    <xf numFmtId="0" fontId="47" fillId="10" borderId="0" xfId="0" applyFont="1" applyFill="1"/>
    <xf numFmtId="0" fontId="47" fillId="0" borderId="0" xfId="0" quotePrefix="1" applyFont="1"/>
    <xf numFmtId="6" fontId="48" fillId="0" borderId="0" xfId="0" applyNumberFormat="1" applyFont="1" applyFill="1" applyBorder="1"/>
    <xf numFmtId="6" fontId="47" fillId="0" borderId="0" xfId="0" applyNumberFormat="1" applyFont="1"/>
    <xf numFmtId="6" fontId="47" fillId="0" borderId="0" xfId="0" quotePrefix="1" applyNumberFormat="1" applyFont="1" applyAlignment="1">
      <alignment horizontal="right"/>
    </xf>
    <xf numFmtId="6" fontId="7" fillId="0" borderId="1" xfId="0" applyNumberFormat="1" applyFont="1" applyFill="1" applyBorder="1"/>
    <xf numFmtId="6" fontId="48" fillId="6" borderId="3" xfId="0" applyNumberFormat="1" applyFont="1" applyFill="1" applyBorder="1" applyProtection="1">
      <protection locked="0"/>
    </xf>
    <xf numFmtId="0" fontId="48" fillId="0" borderId="0" xfId="0" applyFont="1" applyBorder="1"/>
    <xf numFmtId="6" fontId="7" fillId="0" borderId="0" xfId="0" applyNumberFormat="1" applyFont="1"/>
    <xf numFmtId="0" fontId="7" fillId="0" borderId="0" xfId="0" quotePrefix="1" applyFont="1"/>
    <xf numFmtId="6" fontId="7" fillId="0" borderId="9" xfId="0" applyNumberFormat="1" applyFont="1" applyBorder="1"/>
    <xf numFmtId="6" fontId="7" fillId="0" borderId="0" xfId="0" applyNumberFormat="1" applyFont="1" applyBorder="1"/>
    <xf numFmtId="6" fontId="7" fillId="9" borderId="0" xfId="0" applyNumberFormat="1" applyFont="1" applyFill="1"/>
    <xf numFmtId="0" fontId="47" fillId="0" borderId="0" xfId="0" quotePrefix="1" applyFont="1" applyAlignment="1">
      <alignment horizontal="right"/>
    </xf>
    <xf numFmtId="6" fontId="49" fillId="0" borderId="1" xfId="0" applyNumberFormat="1" applyFont="1" applyFill="1" applyBorder="1"/>
    <xf numFmtId="6" fontId="48" fillId="0" borderId="0" xfId="0" applyNumberFormat="1" applyFont="1" applyBorder="1"/>
    <xf numFmtId="6" fontId="7" fillId="0" borderId="0" xfId="0" applyNumberFormat="1" applyFont="1" applyFill="1" applyBorder="1"/>
    <xf numFmtId="6" fontId="47" fillId="0" borderId="0" xfId="0" applyNumberFormat="1" applyFont="1" applyAlignment="1">
      <alignment horizontal="right"/>
    </xf>
    <xf numFmtId="0" fontId="7" fillId="0" borderId="9" xfId="0" applyFont="1" applyBorder="1"/>
    <xf numFmtId="0" fontId="47" fillId="0" borderId="9" xfId="0" quotePrefix="1" applyFont="1" applyBorder="1"/>
    <xf numFmtId="6" fontId="48" fillId="6" borderId="9" xfId="0" applyNumberFormat="1" applyFont="1" applyFill="1" applyBorder="1" applyProtection="1">
      <protection locked="0"/>
    </xf>
    <xf numFmtId="6" fontId="47" fillId="0" borderId="9" xfId="0" applyNumberFormat="1" applyFont="1" applyBorder="1"/>
    <xf numFmtId="6" fontId="47" fillId="0" borderId="9" xfId="0" applyNumberFormat="1" applyFont="1" applyBorder="1" applyAlignment="1">
      <alignment horizontal="right"/>
    </xf>
    <xf numFmtId="6" fontId="7" fillId="0" borderId="24" xfId="0" applyNumberFormat="1" applyFont="1" applyBorder="1"/>
    <xf numFmtId="6" fontId="7" fillId="0" borderId="2" xfId="0" applyNumberFormat="1" applyFont="1" applyBorder="1"/>
    <xf numFmtId="6" fontId="7" fillId="0" borderId="1" xfId="0" applyNumberFormat="1" applyFont="1" applyBorder="1"/>
    <xf numFmtId="0" fontId="20" fillId="0" borderId="0" xfId="4" applyProtection="1"/>
    <xf numFmtId="0" fontId="20" fillId="0" borderId="19" xfId="4" applyBorder="1" applyProtection="1"/>
    <xf numFmtId="0" fontId="51" fillId="0" borderId="0" xfId="4" applyFont="1" applyBorder="1" applyAlignment="1" applyProtection="1">
      <alignment vertical="center"/>
    </xf>
    <xf numFmtId="0" fontId="51" fillId="0" borderId="19" xfId="4" applyFont="1" applyBorder="1" applyAlignment="1" applyProtection="1">
      <alignment vertical="center"/>
    </xf>
    <xf numFmtId="0" fontId="37" fillId="0" borderId="3" xfId="4" applyFont="1" applyBorder="1" applyAlignment="1" applyProtection="1">
      <alignment horizontal="center" vertical="center"/>
      <protection locked="0"/>
    </xf>
    <xf numFmtId="0" fontId="51" fillId="0" borderId="20" xfId="4" applyFont="1" applyBorder="1" applyAlignment="1" applyProtection="1">
      <alignment vertical="center"/>
    </xf>
    <xf numFmtId="0" fontId="52" fillId="11" borderId="1" xfId="4" applyFont="1" applyFill="1" applyBorder="1" applyProtection="1"/>
    <xf numFmtId="0" fontId="52" fillId="11" borderId="1" xfId="4" applyFont="1" applyFill="1" applyBorder="1" applyAlignment="1" applyProtection="1">
      <alignment horizontal="center"/>
    </xf>
    <xf numFmtId="0" fontId="52" fillId="11" borderId="22" xfId="4" applyFont="1" applyFill="1" applyBorder="1" applyAlignment="1" applyProtection="1">
      <alignment horizontal="center"/>
    </xf>
    <xf numFmtId="0" fontId="19" fillId="0" borderId="19" xfId="4" applyFont="1" applyBorder="1" applyAlignment="1" applyProtection="1">
      <alignment horizontal="center"/>
    </xf>
    <xf numFmtId="0" fontId="19" fillId="0" borderId="0" xfId="4" applyFont="1" applyBorder="1" applyAlignment="1" applyProtection="1">
      <alignment horizontal="center"/>
    </xf>
    <xf numFmtId="0" fontId="19" fillId="0" borderId="34" xfId="4" applyFont="1" applyBorder="1" applyProtection="1"/>
    <xf numFmtId="177" fontId="19" fillId="0" borderId="0" xfId="4" applyNumberFormat="1" applyFont="1" applyBorder="1" applyAlignment="1" applyProtection="1">
      <alignment horizontal="center"/>
    </xf>
    <xf numFmtId="177" fontId="19" fillId="0" borderId="20" xfId="4" applyNumberFormat="1" applyFont="1" applyBorder="1" applyAlignment="1" applyProtection="1">
      <alignment horizontal="center"/>
    </xf>
    <xf numFmtId="0" fontId="53" fillId="11" borderId="19" xfId="4" applyFont="1" applyFill="1" applyBorder="1" applyProtection="1"/>
    <xf numFmtId="0" fontId="52" fillId="11" borderId="0" xfId="4" applyFont="1" applyFill="1" applyBorder="1" applyProtection="1"/>
    <xf numFmtId="0" fontId="53" fillId="11" borderId="20" xfId="4" applyFont="1" applyFill="1" applyBorder="1" applyProtection="1"/>
    <xf numFmtId="177" fontId="19" fillId="11" borderId="0" xfId="4" applyNumberFormat="1" applyFont="1" applyFill="1" applyBorder="1" applyProtection="1"/>
    <xf numFmtId="177" fontId="19" fillId="11" borderId="20" xfId="4" applyNumberFormat="1" applyFont="1" applyFill="1" applyBorder="1" applyProtection="1"/>
    <xf numFmtId="0" fontId="16" fillId="0" borderId="0" xfId="4" applyFont="1" applyProtection="1"/>
    <xf numFmtId="0" fontId="42" fillId="0" borderId="1" xfId="4" applyFont="1" applyBorder="1" applyProtection="1">
      <protection locked="0"/>
    </xf>
    <xf numFmtId="9" fontId="42" fillId="0" borderId="20" xfId="4" applyNumberFormat="1" applyFont="1" applyBorder="1" applyProtection="1"/>
    <xf numFmtId="6" fontId="42" fillId="0" borderId="1" xfId="4" applyNumberFormat="1" applyFont="1" applyBorder="1" applyProtection="1">
      <protection locked="0"/>
    </xf>
    <xf numFmtId="6" fontId="42" fillId="0" borderId="0" xfId="4" applyNumberFormat="1" applyFont="1" applyBorder="1" applyProtection="1"/>
    <xf numFmtId="6" fontId="26" fillId="0" borderId="22" xfId="4" applyNumberFormat="1" applyFont="1" applyBorder="1" applyProtection="1"/>
    <xf numFmtId="9" fontId="16" fillId="0" borderId="0" xfId="4" applyNumberFormat="1" applyFont="1" applyProtection="1"/>
    <xf numFmtId="9" fontId="26" fillId="0" borderId="20" xfId="4" applyNumberFormat="1" applyFont="1" applyBorder="1" applyProtection="1"/>
    <xf numFmtId="6" fontId="42" fillId="0" borderId="3" xfId="4" applyNumberFormat="1" applyFont="1" applyBorder="1" applyProtection="1">
      <protection locked="0"/>
    </xf>
    <xf numFmtId="6" fontId="26" fillId="0" borderId="41" xfId="4" applyNumberFormat="1" applyFont="1" applyBorder="1" applyProtection="1"/>
    <xf numFmtId="0" fontId="42" fillId="0" borderId="3" xfId="4" applyFont="1" applyBorder="1" applyProtection="1">
      <protection locked="0"/>
    </xf>
    <xf numFmtId="0" fontId="19" fillId="0" borderId="17" xfId="4" applyFont="1" applyBorder="1" applyAlignment="1" applyProtection="1">
      <alignment horizontal="center"/>
    </xf>
    <xf numFmtId="0" fontId="42" fillId="0" borderId="9" xfId="4" applyFont="1" applyBorder="1" applyProtection="1"/>
    <xf numFmtId="0" fontId="26" fillId="0" borderId="18" xfId="4" applyFont="1" applyBorder="1" applyProtection="1"/>
    <xf numFmtId="6" fontId="42" fillId="0" borderId="9" xfId="4" applyNumberFormat="1" applyFont="1" applyBorder="1" applyProtection="1"/>
    <xf numFmtId="6" fontId="26" fillId="0" borderId="18" xfId="4" applyNumberFormat="1" applyFont="1" applyBorder="1" applyProtection="1"/>
    <xf numFmtId="0" fontId="26" fillId="0" borderId="0" xfId="4" applyFont="1" applyBorder="1" applyProtection="1"/>
    <xf numFmtId="0" fontId="26" fillId="0" borderId="20" xfId="4" applyFont="1" applyBorder="1" applyProtection="1"/>
    <xf numFmtId="6" fontId="26" fillId="0" borderId="1" xfId="4" applyNumberFormat="1" applyFont="1" applyBorder="1" applyProtection="1"/>
    <xf numFmtId="6" fontId="26" fillId="0" borderId="0" xfId="4" applyNumberFormat="1" applyFont="1" applyBorder="1" applyProtection="1"/>
    <xf numFmtId="0" fontId="19" fillId="0" borderId="0" xfId="4" applyFont="1" applyBorder="1" applyProtection="1"/>
    <xf numFmtId="0" fontId="19" fillId="0" borderId="20" xfId="4" applyFont="1" applyBorder="1" applyProtection="1"/>
    <xf numFmtId="6" fontId="19" fillId="0" borderId="0" xfId="4" applyNumberFormat="1" applyFont="1" applyBorder="1" applyProtection="1"/>
    <xf numFmtId="6" fontId="19" fillId="0" borderId="20" xfId="4" applyNumberFormat="1" applyFont="1" applyBorder="1" applyProtection="1"/>
    <xf numFmtId="0" fontId="53" fillId="11" borderId="19" xfId="4" applyFont="1" applyFill="1" applyBorder="1" applyAlignment="1" applyProtection="1">
      <alignment horizontal="center"/>
    </xf>
    <xf numFmtId="6" fontId="53" fillId="11" borderId="0" xfId="4" applyNumberFormat="1" applyFont="1" applyFill="1" applyBorder="1" applyProtection="1"/>
    <xf numFmtId="6" fontId="53" fillId="11" borderId="20" xfId="4" applyNumberFormat="1" applyFont="1" applyFill="1" applyBorder="1" applyProtection="1"/>
    <xf numFmtId="0" fontId="54" fillId="0" borderId="0" xfId="4" applyFont="1" applyProtection="1"/>
    <xf numFmtId="6" fontId="42" fillId="0" borderId="30" xfId="4" applyNumberFormat="1" applyFont="1" applyBorder="1" applyProtection="1">
      <protection locked="0"/>
    </xf>
    <xf numFmtId="6" fontId="42" fillId="0" borderId="15" xfId="4" applyNumberFormat="1" applyFont="1" applyBorder="1" applyProtection="1"/>
    <xf numFmtId="6" fontId="26" fillId="0" borderId="31" xfId="4" applyNumberFormat="1" applyFont="1" applyBorder="1" applyProtection="1"/>
    <xf numFmtId="0" fontId="55" fillId="0" borderId="0" xfId="4" applyFont="1" applyFill="1" applyProtection="1"/>
    <xf numFmtId="177" fontId="16" fillId="0" borderId="0" xfId="4" applyNumberFormat="1" applyFont="1" applyProtection="1"/>
    <xf numFmtId="9" fontId="16" fillId="0" borderId="0" xfId="4" quotePrefix="1" applyNumberFormat="1" applyFont="1" applyProtection="1"/>
    <xf numFmtId="6" fontId="16" fillId="0" borderId="0" xfId="4" applyNumberFormat="1" applyFont="1" applyProtection="1"/>
    <xf numFmtId="9" fontId="16" fillId="0" borderId="0" xfId="4" applyNumberFormat="1" applyFont="1" applyProtection="1">
      <protection locked="0"/>
    </xf>
    <xf numFmtId="6" fontId="42" fillId="0" borderId="3" xfId="4" applyNumberFormat="1" applyFont="1" applyFill="1" applyBorder="1" applyProtection="1">
      <protection locked="0"/>
    </xf>
    <xf numFmtId="6" fontId="42" fillId="0" borderId="6" xfId="4" applyNumberFormat="1" applyFont="1" applyBorder="1" applyProtection="1">
      <protection locked="0"/>
    </xf>
    <xf numFmtId="6" fontId="42" fillId="0" borderId="42" xfId="4" applyNumberFormat="1" applyFont="1" applyBorder="1" applyProtection="1">
      <protection locked="0"/>
    </xf>
    <xf numFmtId="49" fontId="19" fillId="0" borderId="17" xfId="4" applyNumberFormat="1" applyFont="1" applyBorder="1" applyAlignment="1" applyProtection="1">
      <alignment horizontal="center"/>
    </xf>
    <xf numFmtId="49" fontId="26" fillId="0" borderId="18" xfId="4" applyNumberFormat="1" applyFont="1" applyBorder="1" applyProtection="1"/>
    <xf numFmtId="6" fontId="42" fillId="0" borderId="10" xfId="4" applyNumberFormat="1" applyFont="1" applyBorder="1" applyProtection="1"/>
    <xf numFmtId="0" fontId="56" fillId="0" borderId="0" xfId="4" applyFont="1" applyBorder="1" applyAlignment="1" applyProtection="1">
      <alignment vertical="top"/>
    </xf>
    <xf numFmtId="6" fontId="26" fillId="0" borderId="6" xfId="4" applyNumberFormat="1" applyFont="1" applyBorder="1" applyProtection="1"/>
    <xf numFmtId="6" fontId="56" fillId="0" borderId="20" xfId="4" applyNumberFormat="1" applyFont="1" applyBorder="1" applyAlignment="1" applyProtection="1">
      <alignment horizontal="right"/>
    </xf>
    <xf numFmtId="6" fontId="26" fillId="0" borderId="20" xfId="4" applyNumberFormat="1" applyFont="1" applyBorder="1" applyProtection="1"/>
    <xf numFmtId="178" fontId="42" fillId="0" borderId="22" xfId="4" applyNumberFormat="1" applyFont="1" applyBorder="1" applyAlignment="1" applyProtection="1">
      <alignment horizontal="center"/>
      <protection locked="0"/>
    </xf>
    <xf numFmtId="6" fontId="26" fillId="0" borderId="43" xfId="4" applyNumberFormat="1" applyFont="1" applyBorder="1" applyProtection="1"/>
    <xf numFmtId="6" fontId="56" fillId="0" borderId="20" xfId="4" applyNumberFormat="1" applyFont="1" applyBorder="1" applyAlignment="1" applyProtection="1">
      <alignment horizontal="right" vertical="top"/>
    </xf>
    <xf numFmtId="6" fontId="42" fillId="0" borderId="22" xfId="4" applyNumberFormat="1" applyFont="1" applyBorder="1" applyProtection="1">
      <protection locked="0"/>
    </xf>
    <xf numFmtId="6" fontId="26" fillId="0" borderId="21" xfId="4" applyNumberFormat="1" applyFont="1" applyBorder="1" applyProtection="1"/>
    <xf numFmtId="6" fontId="22" fillId="0" borderId="22" xfId="4" applyNumberFormat="1" applyFont="1" applyBorder="1" applyProtection="1"/>
    <xf numFmtId="6" fontId="26" fillId="0" borderId="19" xfId="4" applyNumberFormat="1" applyFont="1" applyBorder="1" applyProtection="1"/>
    <xf numFmtId="6" fontId="22" fillId="0" borderId="21" xfId="4" applyNumberFormat="1" applyFont="1" applyBorder="1" applyProtection="1"/>
    <xf numFmtId="6" fontId="22" fillId="0" borderId="0" xfId="4" applyNumberFormat="1" applyFont="1" applyBorder="1" applyProtection="1"/>
    <xf numFmtId="6" fontId="22" fillId="0" borderId="1" xfId="4" applyNumberFormat="1" applyFont="1" applyBorder="1" applyProtection="1"/>
    <xf numFmtId="0" fontId="56" fillId="0" borderId="0" xfId="4" applyFont="1" applyBorder="1" applyAlignment="1" applyProtection="1">
      <alignment vertical="top" wrapText="1"/>
    </xf>
    <xf numFmtId="0" fontId="20" fillId="0" borderId="20" xfId="4" applyBorder="1" applyProtection="1"/>
    <xf numFmtId="177" fontId="18" fillId="0" borderId="20" xfId="4" applyNumberFormat="1" applyFont="1" applyBorder="1" applyProtection="1"/>
    <xf numFmtId="6" fontId="22" fillId="0" borderId="20" xfId="4" applyNumberFormat="1" applyFont="1" applyBorder="1" applyProtection="1"/>
    <xf numFmtId="0" fontId="20" fillId="0" borderId="17" xfId="4" applyBorder="1" applyProtection="1"/>
    <xf numFmtId="0" fontId="56" fillId="0" borderId="9" xfId="4" applyFont="1" applyBorder="1" applyProtection="1"/>
    <xf numFmtId="0" fontId="20" fillId="0" borderId="18" xfId="4" applyBorder="1" applyProtection="1"/>
    <xf numFmtId="0" fontId="20" fillId="0" borderId="9" xfId="4" applyBorder="1" applyProtection="1"/>
    <xf numFmtId="177" fontId="56" fillId="0" borderId="18" xfId="4" applyNumberFormat="1" applyFont="1" applyBorder="1" applyAlignment="1" applyProtection="1">
      <alignment horizontal="right" vertical="top"/>
    </xf>
    <xf numFmtId="0" fontId="57" fillId="0" borderId="0" xfId="4" applyFont="1" applyAlignment="1">
      <alignment horizontal="center" vertical="center" wrapText="1"/>
    </xf>
    <xf numFmtId="0" fontId="57" fillId="0" borderId="0" xfId="4" applyFont="1" applyAlignment="1">
      <alignment vertical="center" wrapText="1"/>
    </xf>
    <xf numFmtId="0" fontId="16" fillId="0" borderId="0" xfId="4" applyFont="1"/>
    <xf numFmtId="0" fontId="16" fillId="0" borderId="9" xfId="4" applyFont="1" applyBorder="1"/>
    <xf numFmtId="0" fontId="58" fillId="0" borderId="9" xfId="4" applyFont="1" applyBorder="1"/>
    <xf numFmtId="0" fontId="24" fillId="0" borderId="9" xfId="4" applyFont="1" applyBorder="1" applyAlignment="1">
      <alignment horizontal="center"/>
    </xf>
    <xf numFmtId="0" fontId="24" fillId="0" borderId="9" xfId="4" applyFont="1" applyBorder="1" applyAlignment="1">
      <alignment horizontal="centerContinuous"/>
    </xf>
    <xf numFmtId="0" fontId="16" fillId="0" borderId="0" xfId="4" applyFont="1" applyBorder="1"/>
    <xf numFmtId="0" fontId="26" fillId="0" borderId="0" xfId="4" applyFont="1"/>
    <xf numFmtId="0" fontId="58" fillId="0" borderId="0" xfId="4" applyFont="1"/>
    <xf numFmtId="0" fontId="58" fillId="0" borderId="0" xfId="4" applyFont="1" applyBorder="1"/>
    <xf numFmtId="5" fontId="58" fillId="12" borderId="1" xfId="4" applyNumberFormat="1" applyFont="1" applyFill="1" applyBorder="1" applyProtection="1">
      <protection locked="0"/>
    </xf>
    <xf numFmtId="5" fontId="58" fillId="0" borderId="0" xfId="4" applyNumberFormat="1" applyFont="1" applyFill="1"/>
    <xf numFmtId="5" fontId="58" fillId="0" borderId="0" xfId="4" applyNumberFormat="1" applyFont="1" applyFill="1" applyBorder="1"/>
    <xf numFmtId="5" fontId="58" fillId="0" borderId="0" xfId="4" applyNumberFormat="1" applyFont="1" applyBorder="1"/>
    <xf numFmtId="0" fontId="24" fillId="0" borderId="0" xfId="4" applyFont="1"/>
    <xf numFmtId="5" fontId="58" fillId="0" borderId="1" xfId="4" applyNumberFormat="1" applyFont="1" applyFill="1" applyBorder="1"/>
    <xf numFmtId="5" fontId="58" fillId="12" borderId="3" xfId="4" applyNumberFormat="1" applyFont="1" applyFill="1" applyBorder="1" applyProtection="1">
      <protection locked="0"/>
    </xf>
    <xf numFmtId="5" fontId="58" fillId="0" borderId="3" xfId="4" applyNumberFormat="1" applyFont="1" applyFill="1" applyBorder="1"/>
    <xf numFmtId="177" fontId="16" fillId="0" borderId="0" xfId="4" applyNumberFormat="1" applyFont="1"/>
    <xf numFmtId="6" fontId="16" fillId="0" borderId="0" xfId="4" applyNumberFormat="1" applyFont="1"/>
    <xf numFmtId="5" fontId="24" fillId="0" borderId="1" xfId="4" applyNumberFormat="1" applyFont="1" applyFill="1" applyBorder="1"/>
    <xf numFmtId="5" fontId="24" fillId="0" borderId="0" xfId="4" applyNumberFormat="1" applyFont="1" applyFill="1"/>
    <xf numFmtId="5" fontId="24" fillId="0" borderId="0" xfId="4" applyNumberFormat="1" applyFont="1" applyFill="1" applyBorder="1"/>
    <xf numFmtId="5" fontId="24" fillId="0" borderId="0" xfId="4" applyNumberFormat="1" applyFont="1" applyBorder="1"/>
    <xf numFmtId="10" fontId="16" fillId="0" borderId="0" xfId="4" applyNumberFormat="1" applyFont="1"/>
    <xf numFmtId="9" fontId="16" fillId="0" borderId="0" xfId="4" applyNumberFormat="1" applyFont="1"/>
    <xf numFmtId="5" fontId="58" fillId="0" borderId="3" xfId="4" applyNumberFormat="1" applyFont="1" applyBorder="1"/>
    <xf numFmtId="5" fontId="58" fillId="0" borderId="1" xfId="4" applyNumberFormat="1" applyFont="1" applyFill="1" applyBorder="1" applyProtection="1"/>
    <xf numFmtId="9" fontId="58" fillId="12" borderId="0" xfId="4" applyNumberFormat="1" applyFont="1" applyFill="1" applyBorder="1" applyAlignment="1" applyProtection="1">
      <alignment horizontal="center"/>
      <protection locked="0"/>
    </xf>
    <xf numFmtId="6" fontId="58" fillId="0" borderId="3" xfId="4" applyNumberFormat="1" applyFont="1" applyFill="1" applyBorder="1"/>
    <xf numFmtId="0" fontId="51" fillId="0" borderId="0" xfId="4" applyFont="1"/>
    <xf numFmtId="0" fontId="25" fillId="0" borderId="0" xfId="4" applyFont="1" applyAlignment="1">
      <alignment vertical="top"/>
    </xf>
    <xf numFmtId="6" fontId="16" fillId="0" borderId="6" xfId="4" applyNumberFormat="1" applyFont="1" applyBorder="1" applyAlignment="1">
      <alignment horizontal="center"/>
    </xf>
    <xf numFmtId="0" fontId="16" fillId="0" borderId="1" xfId="4" applyFont="1" applyBorder="1"/>
    <xf numFmtId="0" fontId="16" fillId="0" borderId="0" xfId="4" applyFont="1" applyAlignment="1">
      <alignment horizontal="left" indent="1"/>
    </xf>
    <xf numFmtId="6" fontId="16" fillId="0" borderId="1" xfId="4" applyNumberFormat="1" applyFont="1" applyBorder="1" applyAlignment="1">
      <alignment horizontal="center"/>
    </xf>
    <xf numFmtId="6" fontId="16" fillId="0" borderId="1" xfId="4" applyNumberFormat="1" applyFont="1" applyBorder="1" applyAlignment="1"/>
    <xf numFmtId="0" fontId="16" fillId="0" borderId="0" xfId="4" applyFont="1" applyAlignment="1">
      <alignment horizontal="center"/>
    </xf>
    <xf numFmtId="0" fontId="16" fillId="0" borderId="6" xfId="4" applyFont="1" applyBorder="1" applyAlignment="1"/>
    <xf numFmtId="6" fontId="16" fillId="0" borderId="0" xfId="4" applyNumberFormat="1" applyFont="1" applyAlignment="1"/>
    <xf numFmtId="0" fontId="16" fillId="0" borderId="0" xfId="4" applyFont="1" applyAlignment="1"/>
    <xf numFmtId="0" fontId="16" fillId="0" borderId="9" xfId="4" quotePrefix="1" applyFont="1" applyBorder="1"/>
    <xf numFmtId="0" fontId="16" fillId="0" borderId="0" xfId="4" quotePrefix="1" applyFont="1" applyAlignment="1">
      <alignment horizontal="right" vertical="center"/>
    </xf>
    <xf numFmtId="0" fontId="16" fillId="0" borderId="0" xfId="4" quotePrefix="1" applyFont="1"/>
    <xf numFmtId="0" fontId="16" fillId="0" borderId="0" xfId="4" applyFont="1" applyAlignment="1">
      <alignment horizontal="right"/>
    </xf>
    <xf numFmtId="8" fontId="0" fillId="0" borderId="0" xfId="0" applyNumberFormat="1"/>
    <xf numFmtId="6" fontId="0" fillId="0" borderId="0" xfId="0" applyNumberFormat="1" applyFill="1"/>
    <xf numFmtId="0" fontId="0" fillId="0" borderId="0" xfId="0" applyFill="1"/>
    <xf numFmtId="0" fontId="0" fillId="0" borderId="0" xfId="0" quotePrefix="1" applyFill="1"/>
    <xf numFmtId="6" fontId="8" fillId="0" borderId="0" xfId="0" applyNumberFormat="1" applyFont="1" applyFill="1"/>
    <xf numFmtId="6" fontId="0" fillId="0" borderId="2" xfId="0" applyNumberFormat="1" applyFill="1" applyBorder="1"/>
    <xf numFmtId="164" fontId="0" fillId="0" borderId="0" xfId="0" applyNumberFormat="1" applyFill="1"/>
    <xf numFmtId="8" fontId="0" fillId="0" borderId="0" xfId="0" applyNumberFormat="1" applyFill="1"/>
    <xf numFmtId="165" fontId="0" fillId="0" borderId="0" xfId="1" applyNumberFormat="1" applyFont="1" applyFill="1"/>
    <xf numFmtId="6" fontId="0" fillId="0" borderId="1" xfId="0" applyNumberFormat="1" applyBorder="1"/>
    <xf numFmtId="0" fontId="60" fillId="0" borderId="0" xfId="0" applyFont="1"/>
    <xf numFmtId="0" fontId="60" fillId="0" borderId="19" xfId="0" applyFont="1" applyBorder="1"/>
    <xf numFmtId="0" fontId="60" fillId="0" borderId="0" xfId="0" applyFont="1" applyBorder="1"/>
    <xf numFmtId="0" fontId="60" fillId="0" borderId="20" xfId="0" applyFont="1" applyBorder="1"/>
    <xf numFmtId="14" fontId="61" fillId="6" borderId="0" xfId="0" applyNumberFormat="1" applyFont="1" applyFill="1" applyBorder="1"/>
    <xf numFmtId="0" fontId="60" fillId="7" borderId="23" xfId="0" applyFont="1" applyFill="1" applyBorder="1"/>
    <xf numFmtId="0" fontId="60" fillId="7" borderId="24" xfId="0" applyFont="1" applyFill="1" applyBorder="1"/>
    <xf numFmtId="0" fontId="60" fillId="7" borderId="25" xfId="0" applyFont="1" applyFill="1" applyBorder="1"/>
    <xf numFmtId="0" fontId="61" fillId="6" borderId="0" xfId="0" applyFont="1" applyFill="1" applyBorder="1"/>
    <xf numFmtId="0" fontId="60" fillId="0" borderId="15" xfId="0" applyFont="1" applyFill="1" applyBorder="1"/>
    <xf numFmtId="0" fontId="5" fillId="0" borderId="0" xfId="0" applyFont="1"/>
    <xf numFmtId="0" fontId="2" fillId="14" borderId="0" xfId="0" applyFont="1" applyFill="1" applyAlignment="1">
      <alignment horizontal="center"/>
    </xf>
    <xf numFmtId="9" fontId="2" fillId="14" borderId="0" xfId="0" applyNumberFormat="1" applyFont="1" applyFill="1" applyAlignment="1">
      <alignment horizontal="center"/>
    </xf>
    <xf numFmtId="0" fontId="2" fillId="15" borderId="0" xfId="0" applyFont="1" applyFill="1"/>
    <xf numFmtId="0" fontId="3" fillId="15" borderId="0" xfId="0" applyFont="1" applyFill="1"/>
    <xf numFmtId="1" fontId="2" fillId="0" borderId="0" xfId="0" applyNumberFormat="1" applyFont="1"/>
    <xf numFmtId="0" fontId="2" fillId="0" borderId="0" xfId="0" applyFont="1" applyAlignment="1">
      <alignment horizontal="left" indent="1"/>
    </xf>
    <xf numFmtId="179" fontId="2" fillId="0" borderId="0" xfId="0" applyNumberFormat="1" applyFont="1"/>
    <xf numFmtId="9" fontId="2" fillId="0" borderId="0" xfId="1" applyFont="1" applyAlignment="1">
      <alignment horizontal="left" indent="1"/>
    </xf>
    <xf numFmtId="9" fontId="2" fillId="0" borderId="0" xfId="1" applyFont="1"/>
    <xf numFmtId="6" fontId="58" fillId="12" borderId="1" xfId="4" applyNumberFormat="1" applyFont="1" applyFill="1" applyBorder="1" applyProtection="1">
      <protection locked="0"/>
    </xf>
    <xf numFmtId="9" fontId="8" fillId="0" borderId="1" xfId="0" applyNumberFormat="1" applyFont="1" applyBorder="1"/>
    <xf numFmtId="0" fontId="59" fillId="13" borderId="23" xfId="0" applyFont="1" applyFill="1" applyBorder="1" applyAlignment="1">
      <alignment horizontal="center"/>
    </xf>
    <xf numFmtId="0" fontId="59" fillId="13" borderId="24" xfId="0" applyFont="1" applyFill="1" applyBorder="1" applyAlignment="1">
      <alignment horizontal="center"/>
    </xf>
    <xf numFmtId="0" fontId="59" fillId="13" borderId="25" xfId="0" applyFont="1" applyFill="1" applyBorder="1" applyAlignment="1">
      <alignment horizontal="center"/>
    </xf>
    <xf numFmtId="14" fontId="60" fillId="0" borderId="15" xfId="0" applyNumberFormat="1" applyFont="1" applyFill="1" applyBorder="1" applyAlignment="1">
      <alignment horizontal="center"/>
    </xf>
    <xf numFmtId="14" fontId="60" fillId="0" borderId="16" xfId="0" applyNumberFormat="1" applyFont="1" applyFill="1" applyBorder="1" applyAlignment="1">
      <alignment horizontal="center"/>
    </xf>
    <xf numFmtId="14" fontId="60" fillId="0" borderId="9" xfId="0" applyNumberFormat="1" applyFont="1" applyFill="1" applyBorder="1" applyAlignment="1">
      <alignment horizontal="center"/>
    </xf>
    <xf numFmtId="14" fontId="60" fillId="0" borderId="18" xfId="0" applyNumberFormat="1" applyFont="1" applyFill="1" applyBorder="1" applyAlignment="1">
      <alignment horizontal="center"/>
    </xf>
    <xf numFmtId="14" fontId="60" fillId="0" borderId="24" xfId="0" applyNumberFormat="1" applyFont="1" applyFill="1" applyBorder="1" applyAlignment="1">
      <alignment horizontal="center"/>
    </xf>
    <xf numFmtId="14" fontId="60" fillId="0" borderId="25" xfId="0" applyNumberFormat="1" applyFont="1" applyFill="1" applyBorder="1" applyAlignment="1">
      <alignment horizontal="center"/>
    </xf>
    <xf numFmtId="37" fontId="60" fillId="0" borderId="15" xfId="3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17" fillId="0" borderId="0" xfId="2" applyNumberFormat="1" applyFont="1" applyFill="1" applyAlignment="1" applyProtection="1">
      <alignment horizontal="center"/>
      <protection locked="0"/>
    </xf>
    <xf numFmtId="2" fontId="13" fillId="5" borderId="0" xfId="2" applyNumberFormat="1" applyFont="1" applyFill="1" applyAlignment="1" applyProtection="1">
      <protection locked="0"/>
    </xf>
    <xf numFmtId="166" fontId="32" fillId="0" borderId="6" xfId="2" applyNumberFormat="1" applyFont="1" applyFill="1" applyBorder="1" applyAlignment="1" applyProtection="1">
      <alignment horizontal="center"/>
      <protection locked="0"/>
    </xf>
    <xf numFmtId="2" fontId="13" fillId="5" borderId="6" xfId="2" applyNumberFormat="1" applyFont="1" applyFill="1" applyBorder="1" applyAlignment="1" applyProtection="1">
      <alignment horizontal="center"/>
      <protection locked="0"/>
    </xf>
    <xf numFmtId="5" fontId="16" fillId="0" borderId="1" xfId="4" applyNumberFormat="1" applyFont="1" applyBorder="1" applyAlignment="1">
      <alignment horizontal="center"/>
    </xf>
    <xf numFmtId="0" fontId="16" fillId="0" borderId="1" xfId="4" applyFont="1" applyBorder="1" applyAlignment="1">
      <alignment horizontal="center"/>
    </xf>
    <xf numFmtId="37" fontId="16" fillId="12" borderId="3" xfId="3" applyNumberFormat="1" applyFont="1" applyFill="1" applyBorder="1" applyAlignment="1" applyProtection="1">
      <alignment horizontal="center"/>
      <protection locked="0"/>
    </xf>
    <xf numFmtId="9" fontId="16" fillId="12" borderId="10" xfId="4" applyNumberFormat="1" applyFont="1" applyFill="1" applyBorder="1" applyAlignment="1" applyProtection="1">
      <alignment horizontal="center"/>
      <protection locked="0"/>
    </xf>
    <xf numFmtId="0" fontId="16" fillId="12" borderId="10" xfId="4" applyFont="1" applyFill="1" applyBorder="1" applyAlignment="1" applyProtection="1">
      <alignment horizontal="center"/>
      <protection locked="0"/>
    </xf>
    <xf numFmtId="6" fontId="16" fillId="0" borderId="30" xfId="4" quotePrefix="1" applyNumberFormat="1" applyFont="1" applyBorder="1" applyAlignment="1">
      <alignment horizontal="center"/>
    </xf>
    <xf numFmtId="6" fontId="16" fillId="0" borderId="1" xfId="4" applyNumberFormat="1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6" fontId="16" fillId="0" borderId="0" xfId="4" applyNumberFormat="1" applyFont="1" applyAlignment="1">
      <alignment horizontal="center"/>
    </xf>
    <xf numFmtId="0" fontId="16" fillId="0" borderId="0" xfId="4" applyFont="1" applyAlignment="1">
      <alignment horizontal="center"/>
    </xf>
    <xf numFmtId="5" fontId="16" fillId="0" borderId="9" xfId="4" applyNumberFormat="1" applyFont="1" applyBorder="1" applyAlignment="1">
      <alignment horizontal="center"/>
    </xf>
    <xf numFmtId="0" fontId="16" fillId="0" borderId="9" xfId="4" applyFont="1" applyBorder="1" applyAlignment="1">
      <alignment horizontal="center"/>
    </xf>
    <xf numFmtId="6" fontId="16" fillId="0" borderId="6" xfId="4" applyNumberFormat="1" applyFont="1" applyBorder="1" applyAlignment="1">
      <alignment horizontal="center"/>
    </xf>
    <xf numFmtId="0" fontId="16" fillId="0" borderId="6" xfId="4" applyFont="1" applyBorder="1" applyAlignment="1">
      <alignment horizontal="center"/>
    </xf>
    <xf numFmtId="6" fontId="16" fillId="12" borderId="1" xfId="4" applyNumberFormat="1" applyFont="1" applyFill="1" applyBorder="1" applyAlignment="1" applyProtection="1">
      <alignment horizontal="center"/>
      <protection locked="0"/>
    </xf>
    <xf numFmtId="6" fontId="16" fillId="0" borderId="3" xfId="4" applyNumberFormat="1" applyFont="1" applyBorder="1" applyAlignment="1">
      <alignment horizontal="center"/>
    </xf>
    <xf numFmtId="0" fontId="16" fillId="12" borderId="3" xfId="4" applyFont="1" applyFill="1" applyBorder="1" applyAlignment="1" applyProtection="1">
      <alignment horizontal="center"/>
      <protection locked="0"/>
    </xf>
    <xf numFmtId="0" fontId="57" fillId="0" borderId="0" xfId="4" applyFont="1" applyAlignment="1">
      <alignment horizontal="center" vertical="center" wrapText="1"/>
    </xf>
    <xf numFmtId="0" fontId="24" fillId="0" borderId="9" xfId="4" applyFont="1" applyBorder="1" applyAlignment="1">
      <alignment horizontal="center"/>
    </xf>
    <xf numFmtId="5" fontId="58" fillId="0" borderId="0" xfId="4" applyNumberFormat="1" applyFont="1" applyFill="1" applyBorder="1" applyAlignment="1">
      <alignment horizontal="center"/>
    </xf>
    <xf numFmtId="0" fontId="57" fillId="0" borderId="0" xfId="4" applyFont="1" applyAlignment="1">
      <alignment horizontal="center"/>
    </xf>
    <xf numFmtId="0" fontId="50" fillId="11" borderId="14" xfId="4" applyFont="1" applyFill="1" applyBorder="1" applyAlignment="1" applyProtection="1">
      <alignment horizontal="center"/>
    </xf>
    <xf numFmtId="0" fontId="50" fillId="11" borderId="15" xfId="4" applyFont="1" applyFill="1" applyBorder="1" applyAlignment="1" applyProtection="1">
      <alignment horizontal="center"/>
    </xf>
    <xf numFmtId="0" fontId="50" fillId="11" borderId="16" xfId="4" applyFont="1" applyFill="1" applyBorder="1" applyAlignment="1" applyProtection="1">
      <alignment horizontal="center"/>
    </xf>
    <xf numFmtId="0" fontId="52" fillId="11" borderId="21" xfId="4" applyFont="1" applyFill="1" applyBorder="1" applyAlignment="1" applyProtection="1">
      <alignment horizontal="center"/>
    </xf>
    <xf numFmtId="0" fontId="52" fillId="11" borderId="1" xfId="4" applyFont="1" applyFill="1" applyBorder="1" applyAlignment="1" applyProtection="1">
      <alignment horizontal="center"/>
    </xf>
    <xf numFmtId="0" fontId="56" fillId="0" borderId="0" xfId="4" applyFont="1" applyBorder="1" applyAlignment="1" applyProtection="1">
      <alignment horizontal="left" vertical="top" wrapText="1"/>
    </xf>
    <xf numFmtId="0" fontId="56" fillId="0" borderId="20" xfId="4" applyFont="1" applyBorder="1" applyAlignment="1" applyProtection="1">
      <alignment horizontal="left" vertical="top" wrapText="1"/>
    </xf>
    <xf numFmtId="2" fontId="33" fillId="0" borderId="0" xfId="2" applyFont="1" applyFill="1" applyAlignment="1">
      <alignment horizontal="center"/>
    </xf>
    <xf numFmtId="2" fontId="23" fillId="0" borderId="0" xfId="2" applyFont="1" applyAlignment="1" applyProtection="1">
      <alignment horizontal="left"/>
      <protection locked="0"/>
    </xf>
    <xf numFmtId="2" fontId="13" fillId="5" borderId="0" xfId="2" applyNumberFormat="1" applyFont="1" applyFill="1" applyAlignment="1" applyProtection="1">
      <alignment horizontal="left"/>
      <protection locked="0"/>
    </xf>
    <xf numFmtId="9" fontId="25" fillId="0" borderId="6" xfId="2" quotePrefix="1" applyNumberFormat="1" applyFont="1" applyBorder="1" applyAlignment="1">
      <alignment horizontal="center"/>
    </xf>
    <xf numFmtId="9" fontId="25" fillId="0" borderId="6" xfId="2" applyNumberFormat="1" applyFont="1" applyBorder="1" applyAlignment="1">
      <alignment horizontal="center"/>
    </xf>
    <xf numFmtId="2" fontId="20" fillId="0" borderId="7" xfId="2" applyFont="1" applyBorder="1" applyAlignment="1" applyProtection="1">
      <alignment horizontal="center"/>
    </xf>
    <xf numFmtId="2" fontId="13" fillId="5" borderId="7" xfId="2" applyNumberFormat="1" applyFont="1" applyFill="1" applyBorder="1" applyAlignment="1" applyProtection="1">
      <protection locked="0"/>
    </xf>
    <xf numFmtId="2" fontId="26" fillId="0" borderId="3" xfId="2" applyFont="1" applyBorder="1" applyAlignment="1" applyProtection="1">
      <alignment vertical="center"/>
    </xf>
    <xf numFmtId="2" fontId="22" fillId="5" borderId="3" xfId="2" applyNumberFormat="1" applyFont="1" applyFill="1" applyBorder="1" applyAlignment="1" applyProtection="1">
      <alignment vertical="center"/>
      <protection locked="0"/>
    </xf>
    <xf numFmtId="2" fontId="13" fillId="5" borderId="3" xfId="2" applyNumberFormat="1" applyFont="1" applyFill="1" applyBorder="1" applyAlignment="1" applyProtection="1">
      <protection locked="0"/>
    </xf>
    <xf numFmtId="2" fontId="20" fillId="0" borderId="0" xfId="2" applyFont="1" applyAlignment="1" applyProtection="1">
      <alignment horizontal="right"/>
    </xf>
    <xf numFmtId="2" fontId="13" fillId="5" borderId="0" xfId="2" applyNumberFormat="1" applyFont="1" applyFill="1" applyAlignment="1" applyProtection="1">
      <alignment horizontal="right"/>
      <protection locked="0"/>
    </xf>
    <xf numFmtId="2" fontId="20" fillId="0" borderId="1" xfId="2" applyFont="1" applyBorder="1" applyAlignment="1" applyProtection="1">
      <alignment horizontal="right"/>
    </xf>
    <xf numFmtId="2" fontId="13" fillId="5" borderId="1" xfId="2" applyNumberFormat="1" applyFont="1" applyFill="1" applyBorder="1" applyAlignment="1" applyProtection="1">
      <alignment horizontal="right"/>
      <protection locked="0"/>
    </xf>
    <xf numFmtId="2" fontId="19" fillId="0" borderId="0" xfId="2" applyFont="1" applyAlignment="1" applyProtection="1">
      <alignment horizontal="left"/>
    </xf>
    <xf numFmtId="2" fontId="22" fillId="5" borderId="0" xfId="2" applyNumberFormat="1" applyFont="1" applyFill="1" applyAlignment="1" applyProtection="1">
      <protection locked="0"/>
    </xf>
    <xf numFmtId="2" fontId="20" fillId="0" borderId="0" xfId="2" applyFont="1" applyAlignment="1"/>
    <xf numFmtId="2" fontId="19" fillId="0" borderId="0" xfId="2" applyFont="1" applyBorder="1" applyAlignment="1" applyProtection="1">
      <alignment horizontal="left" vertical="center"/>
    </xf>
    <xf numFmtId="2" fontId="22" fillId="5" borderId="0" xfId="2" applyNumberFormat="1" applyFont="1" applyFill="1" applyBorder="1" applyAlignment="1" applyProtection="1">
      <alignment vertical="center"/>
      <protection locked="0"/>
    </xf>
    <xf numFmtId="2" fontId="24" fillId="0" borderId="0" xfId="2" applyFont="1" applyAlignment="1"/>
    <xf numFmtId="2" fontId="20" fillId="0" borderId="0" xfId="2" applyFont="1" applyBorder="1" applyAlignment="1">
      <alignment horizontal="center"/>
    </xf>
    <xf numFmtId="0" fontId="46" fillId="0" borderId="0" xfId="0" applyFont="1" applyAlignment="1">
      <alignment horizontal="center" vertical="top"/>
    </xf>
    <xf numFmtId="0" fontId="47" fillId="0" borderId="0" xfId="0" applyFont="1" applyAlignment="1">
      <alignment horizontal="center" wrapText="1"/>
    </xf>
    <xf numFmtId="0" fontId="51" fillId="0" borderId="0" xfId="4" applyFont="1" applyAlignment="1">
      <alignment horizontal="right" vertical="center" wrapText="1"/>
    </xf>
    <xf numFmtId="0" fontId="57" fillId="0" borderId="1" xfId="4" applyFont="1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6" fontId="45" fillId="6" borderId="26" xfId="0" applyNumberFormat="1" applyFont="1" applyFill="1" applyBorder="1" applyAlignment="1" applyProtection="1">
      <alignment vertical="center"/>
      <protection locked="0"/>
    </xf>
    <xf numFmtId="6" fontId="45" fillId="6" borderId="2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62" fillId="0" borderId="0" xfId="0" applyFont="1"/>
    <xf numFmtId="0" fontId="3" fillId="16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left"/>
    </xf>
    <xf numFmtId="3" fontId="0" fillId="0" borderId="0" xfId="0" applyNumberFormat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8" fontId="0" fillId="0" borderId="1" xfId="0" applyNumberFormat="1" applyBorder="1"/>
    <xf numFmtId="0" fontId="0" fillId="0" borderId="19" xfId="0" applyBorder="1"/>
    <xf numFmtId="0" fontId="6" fillId="0" borderId="0" xfId="0" applyFont="1" applyBorder="1"/>
    <xf numFmtId="0" fontId="0" fillId="0" borderId="20" xfId="0" applyBorder="1"/>
    <xf numFmtId="0" fontId="0" fillId="0" borderId="17" xfId="0" applyBorder="1"/>
    <xf numFmtId="0" fontId="6" fillId="0" borderId="9" xfId="0" applyFont="1" applyBorder="1"/>
    <xf numFmtId="0" fontId="0" fillId="0" borderId="9" xfId="0" applyBorder="1"/>
    <xf numFmtId="0" fontId="3" fillId="16" borderId="23" xfId="0" applyFont="1" applyFill="1" applyBorder="1" applyAlignment="1">
      <alignment horizontal="center"/>
    </xf>
    <xf numFmtId="0" fontId="3" fillId="16" borderId="24" xfId="0" applyFont="1" applyFill="1" applyBorder="1" applyAlignment="1">
      <alignment horizontal="center"/>
    </xf>
    <xf numFmtId="0" fontId="3" fillId="16" borderId="25" xfId="0" applyFont="1" applyFill="1" applyBorder="1" applyAlignment="1">
      <alignment horizontal="center"/>
    </xf>
    <xf numFmtId="0" fontId="0" fillId="0" borderId="20" xfId="0" quotePrefix="1" applyBorder="1"/>
    <xf numFmtId="0" fontId="0" fillId="0" borderId="18" xfId="0" quotePrefix="1" applyBorder="1"/>
    <xf numFmtId="3" fontId="63" fillId="0" borderId="0" xfId="0" applyNumberFormat="1" applyFont="1" applyAlignment="1">
      <alignment horizontal="center"/>
    </xf>
    <xf numFmtId="8" fontId="63" fillId="0" borderId="0" xfId="0" applyNumberFormat="1" applyFont="1"/>
    <xf numFmtId="8" fontId="0" fillId="0" borderId="0" xfId="0" applyNumberFormat="1" applyBorder="1"/>
    <xf numFmtId="8" fontId="0" fillId="0" borderId="0" xfId="0" applyNumberFormat="1" applyFont="1"/>
    <xf numFmtId="8" fontId="0" fillId="0" borderId="0" xfId="0" applyNumberFormat="1" applyFont="1" applyBorder="1"/>
    <xf numFmtId="8" fontId="0" fillId="0" borderId="1" xfId="0" applyNumberFormat="1" applyFont="1" applyBorder="1"/>
    <xf numFmtId="3" fontId="63" fillId="0" borderId="1" xfId="0" applyNumberFormat="1" applyFont="1" applyBorder="1" applyAlignment="1">
      <alignment horizontal="center"/>
    </xf>
    <xf numFmtId="8" fontId="63" fillId="0" borderId="1" xfId="0" applyNumberFormat="1" applyFont="1" applyBorder="1"/>
    <xf numFmtId="8" fontId="63" fillId="0" borderId="0" xfId="0" applyNumberFormat="1" applyFont="1" applyBorder="1"/>
    <xf numFmtId="9" fontId="0" fillId="0" borderId="1" xfId="0" applyNumberFormat="1" applyBorder="1"/>
    <xf numFmtId="185" fontId="0" fillId="0" borderId="0" xfId="5" applyNumberFormat="1" applyFont="1" applyBorder="1"/>
    <xf numFmtId="0" fontId="0" fillId="0" borderId="14" xfId="0" applyBorder="1"/>
    <xf numFmtId="0" fontId="6" fillId="0" borderId="15" xfId="0" applyFont="1" applyBorder="1"/>
    <xf numFmtId="8" fontId="0" fillId="0" borderId="15" xfId="0" applyNumberFormat="1" applyBorder="1"/>
    <xf numFmtId="0" fontId="0" fillId="0" borderId="16" xfId="0" quotePrefix="1" applyBorder="1"/>
    <xf numFmtId="8" fontId="0" fillId="0" borderId="9" xfId="0" applyNumberFormat="1" applyFont="1" applyBorder="1"/>
    <xf numFmtId="3" fontId="63" fillId="0" borderId="0" xfId="0" applyNumberFormat="1" applyFont="1" applyAlignment="1" applyProtection="1">
      <alignment horizontal="center"/>
      <protection locked="0"/>
    </xf>
    <xf numFmtId="8" fontId="63" fillId="0" borderId="0" xfId="0" applyNumberFormat="1" applyFont="1" applyProtection="1">
      <protection locked="0"/>
    </xf>
    <xf numFmtId="3" fontId="63" fillId="0" borderId="1" xfId="0" applyNumberFormat="1" applyFont="1" applyBorder="1" applyAlignment="1" applyProtection="1">
      <alignment horizontal="center"/>
      <protection locked="0"/>
    </xf>
    <xf numFmtId="8" fontId="63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8" fontId="0" fillId="0" borderId="0" xfId="0" applyNumberFormat="1" applyProtection="1">
      <protection locked="0"/>
    </xf>
    <xf numFmtId="9" fontId="63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Alignment="1">
      <alignment horizontal="center" vertical="center" wrapText="1"/>
    </xf>
    <xf numFmtId="0" fontId="64" fillId="0" borderId="0" xfId="0" applyFont="1"/>
    <xf numFmtId="14" fontId="63" fillId="0" borderId="0" xfId="0" applyNumberFormat="1" applyFont="1" applyAlignment="1">
      <alignment horizontal="center" vertical="center"/>
    </xf>
    <xf numFmtId="0" fontId="6" fillId="12" borderId="44" xfId="0" applyFont="1" applyFill="1" applyBorder="1" applyAlignment="1">
      <alignment horizontal="center" vertical="center" wrapText="1"/>
    </xf>
    <xf numFmtId="0" fontId="6" fillId="12" borderId="45" xfId="0" applyFont="1" applyFill="1" applyBorder="1" applyAlignment="1">
      <alignment horizontal="center" vertical="center" wrapText="1"/>
    </xf>
    <xf numFmtId="0" fontId="6" fillId="12" borderId="46" xfId="0" applyFont="1" applyFill="1" applyBorder="1" applyAlignment="1">
      <alignment horizontal="center" vertical="center" wrapText="1"/>
    </xf>
    <xf numFmtId="2" fontId="0" fillId="0" borderId="20" xfId="0" applyNumberFormat="1" applyBorder="1"/>
    <xf numFmtId="2" fontId="0" fillId="0" borderId="18" xfId="0" applyNumberFormat="1" applyBorder="1"/>
    <xf numFmtId="179" fontId="0" fillId="0" borderId="0" xfId="0" applyNumberFormat="1" applyBorder="1"/>
    <xf numFmtId="0" fontId="0" fillId="0" borderId="47" xfId="0" applyBorder="1"/>
    <xf numFmtId="0" fontId="0" fillId="0" borderId="48" xfId="0" applyBorder="1"/>
    <xf numFmtId="179" fontId="0" fillId="0" borderId="8" xfId="0" applyNumberFormat="1" applyBorder="1"/>
    <xf numFmtId="179" fontId="0" fillId="0" borderId="49" xfId="0" applyNumberFormat="1" applyBorder="1"/>
    <xf numFmtId="2" fontId="0" fillId="0" borderId="50" xfId="0" applyNumberFormat="1" applyBorder="1"/>
    <xf numFmtId="2" fontId="0" fillId="0" borderId="51" xfId="0" applyNumberFormat="1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187" fontId="0" fillId="0" borderId="47" xfId="0" applyNumberFormat="1" applyBorder="1"/>
    <xf numFmtId="0" fontId="0" fillId="0" borderId="47" xfId="0" applyBorder="1" applyAlignment="1">
      <alignment horizontal="center"/>
    </xf>
    <xf numFmtId="2" fontId="0" fillId="0" borderId="48" xfId="0" applyNumberFormat="1" applyBorder="1"/>
    <xf numFmtId="187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8" xfId="0" applyBorder="1"/>
    <xf numFmtId="2" fontId="0" fillId="0" borderId="49" xfId="0" applyNumberFormat="1" applyBorder="1"/>
    <xf numFmtId="187" fontId="0" fillId="0" borderId="50" xfId="0" applyNumberFormat="1" applyBorder="1"/>
    <xf numFmtId="0" fontId="0" fillId="0" borderId="32" xfId="0" applyBorder="1"/>
    <xf numFmtId="187" fontId="0" fillId="0" borderId="55" xfId="0" applyNumberFormat="1" applyBorder="1"/>
    <xf numFmtId="0" fontId="0" fillId="0" borderId="55" xfId="0" applyBorder="1" applyAlignment="1">
      <alignment horizontal="center"/>
    </xf>
    <xf numFmtId="0" fontId="0" fillId="0" borderId="55" xfId="0" applyBorder="1"/>
    <xf numFmtId="2" fontId="0" fillId="0" borderId="56" xfId="0" applyNumberFormat="1" applyBorder="1"/>
    <xf numFmtId="0" fontId="6" fillId="0" borderId="52" xfId="0" applyFont="1" applyBorder="1"/>
    <xf numFmtId="179" fontId="0" fillId="0" borderId="47" xfId="0" applyNumberFormat="1" applyBorder="1"/>
    <xf numFmtId="0" fontId="6" fillId="0" borderId="53" xfId="0" applyFont="1" applyBorder="1"/>
    <xf numFmtId="0" fontId="6" fillId="0" borderId="54" xfId="0" applyFont="1" applyBorder="1"/>
    <xf numFmtId="179" fontId="0" fillId="0" borderId="50" xfId="0" applyNumberFormat="1" applyBorder="1"/>
    <xf numFmtId="0" fontId="0" fillId="12" borderId="47" xfId="0" applyFill="1" applyBorder="1"/>
    <xf numFmtId="0" fontId="0" fillId="12" borderId="8" xfId="0" applyFill="1" applyBorder="1"/>
    <xf numFmtId="0" fontId="0" fillId="12" borderId="50" xfId="0" applyFill="1" applyBorder="1"/>
    <xf numFmtId="187" fontId="0" fillId="12" borderId="8" xfId="0" applyNumberFormat="1" applyFill="1" applyBorder="1"/>
    <xf numFmtId="187" fontId="0" fillId="12" borderId="50" xfId="0" applyNumberFormat="1" applyFill="1" applyBorder="1"/>
    <xf numFmtId="179" fontId="0" fillId="12" borderId="47" xfId="0" applyNumberFormat="1" applyFill="1" applyBorder="1"/>
    <xf numFmtId="0" fontId="0" fillId="0" borderId="14" xfId="0" pivotButton="1" applyBorder="1"/>
    <xf numFmtId="0" fontId="0" fillId="0" borderId="15" xfId="0" applyBorder="1" applyAlignment="1"/>
    <xf numFmtId="0" fontId="0" fillId="0" borderId="16" xfId="0" applyBorder="1" applyAlignment="1"/>
    <xf numFmtId="0" fontId="0" fillId="0" borderId="19" xfId="0" applyBorder="1" applyAlignment="1">
      <alignment horizontal="left"/>
    </xf>
    <xf numFmtId="0" fontId="0" fillId="0" borderId="0" xfId="0" applyNumberFormat="1" applyBorder="1"/>
    <xf numFmtId="0" fontId="0" fillId="0" borderId="19" xfId="0" applyBorder="1" applyAlignment="1">
      <alignment horizontal="left" indent="1"/>
    </xf>
    <xf numFmtId="0" fontId="0" fillId="0" borderId="17" xfId="0" applyBorder="1" applyAlignment="1">
      <alignment horizontal="left"/>
    </xf>
    <xf numFmtId="0" fontId="0" fillId="0" borderId="9" xfId="0" applyNumberFormat="1" applyBorder="1"/>
    <xf numFmtId="179" fontId="0" fillId="0" borderId="9" xfId="0" applyNumberFormat="1" applyBorder="1"/>
  </cellXfs>
  <cellStyles count="6">
    <cellStyle name="Comma" xfId="5" builtinId="3"/>
    <cellStyle name="Comma 2" xfId="3" xr:uid="{DE13157D-A970-4AB1-86EA-31A951BE722A}"/>
    <cellStyle name="Normal" xfId="0" builtinId="0"/>
    <cellStyle name="Normal 2" xfId="2" xr:uid="{21E4963E-9CCC-4368-BE40-4AFD0E809EBE}"/>
    <cellStyle name="Normal 2 2" xfId="4" xr:uid="{B75C1791-E435-4025-94A2-415AD572B895}"/>
    <cellStyle name="Percent" xfId="1" builtinId="5"/>
  </cellStyles>
  <dxfs count="15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numFmt numFmtId="2" formatCode="0.00"/>
    </dxf>
    <dxf>
      <numFmt numFmtId="179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10</xdr:row>
      <xdr:rowOff>200025</xdr:rowOff>
    </xdr:from>
    <xdr:to>
      <xdr:col>9</xdr:col>
      <xdr:colOff>228601</xdr:colOff>
      <xdr:row>21</xdr:row>
      <xdr:rowOff>142876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8A7443-35FF-4C7C-AA8F-487CED56C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2275" y="2676525"/>
          <a:ext cx="3406776" cy="2168526"/>
        </a:xfrm>
        <a:prstGeom prst="rect">
          <a:avLst/>
        </a:prstGeom>
        <a:ln cmpd="tri"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31750</xdr:rowOff>
    </xdr:from>
    <xdr:to>
      <xdr:col>1</xdr:col>
      <xdr:colOff>866775</xdr:colOff>
      <xdr:row>0</xdr:row>
      <xdr:rowOff>828675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34B29B4-593F-4995-9936-199854964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476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28575</xdr:colOff>
      <xdr:row>0</xdr:row>
      <xdr:rowOff>552450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5569D815-3956-4290-B99C-0FC3E03A5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763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hite, Alex" refreshedDate="44460.55552696759" createdVersion="6" refreshedVersion="6" minRefreshableVersion="3" recordCount="14" xr:uid="{1DE78E60-DAC3-4DC8-AA60-626CE12EF5A5}">
  <cacheSource type="worksheet">
    <worksheetSource ref="B5:J19" sheet="Herd Records"/>
  </cacheSource>
  <cacheFields count="9">
    <cacheField name="ID Number" numFmtId="0">
      <sharedItems containsSemiMixedTypes="0" containsString="0" containsNumber="1" containsInteger="1" minValue="1504" maxValue="1517"/>
    </cacheField>
    <cacheField name="Birthdate" numFmtId="187">
      <sharedItems containsSemiMixedTypes="0" containsNonDate="0" containsDate="1" containsString="0" minDate="2021-02-22T00:00:00" maxDate="2021-06-07T00:00:00"/>
    </cacheField>
    <cacheField name="Bull or Heifer" numFmtId="0">
      <sharedItems count="2">
        <s v="Bull"/>
        <s v="Heifer"/>
      </sharedItems>
    </cacheField>
    <cacheField name="Birth Weight" numFmtId="0">
      <sharedItems containsSemiMixedTypes="0" containsString="0" containsNumber="1" containsInteger="1" minValue="52" maxValue="110" count="12">
        <n v="100"/>
        <n v="52"/>
        <n v="66"/>
        <n v="80"/>
        <n v="110"/>
        <n v="93"/>
        <n v="94"/>
        <n v="58"/>
        <n v="87"/>
        <n v="65"/>
        <n v="73"/>
        <n v="99"/>
      </sharedItems>
    </cacheField>
    <cacheField name="Sire" numFmtId="0">
      <sharedItems containsSemiMixedTypes="0" containsString="0" containsNumber="1" containsInteger="1" minValue="501" maxValue="506" count="4">
        <n v="505"/>
        <n v="503"/>
        <n v="501"/>
        <n v="506"/>
      </sharedItems>
    </cacheField>
    <cacheField name="Dam" numFmtId="0">
      <sharedItems containsSemiMixedTypes="0" containsString="0" containsNumber="1" containsInteger="1" minValue="923" maxValue="1325"/>
    </cacheField>
    <cacheField name="Weaning Weight" numFmtId="0">
      <sharedItems containsSemiMixedTypes="0" containsString="0" containsNumber="1" containsInteger="1" minValue="357" maxValue="490" count="14">
        <n v="467"/>
        <n v="487"/>
        <n v="490"/>
        <n v="402"/>
        <n v="475"/>
        <n v="455"/>
        <n v="425"/>
        <n v="357"/>
        <n v="378"/>
        <n v="379"/>
        <n v="375"/>
        <n v="410"/>
        <n v="395"/>
        <n v="417"/>
      </sharedItems>
    </cacheField>
    <cacheField name="Age at Weaning (Days)" numFmtId="0">
      <sharedItems containsSemiMixedTypes="0" containsString="0" containsNumber="1" containsInteger="1" minValue="148" maxValue="252" count="14">
        <n v="252"/>
        <n v="237"/>
        <n v="224"/>
        <n v="219"/>
        <n v="213"/>
        <n v="210"/>
        <n v="204"/>
        <n v="198"/>
        <n v="179"/>
        <n v="168"/>
        <n v="164"/>
        <n v="157"/>
        <n v="155"/>
        <n v="148"/>
      </sharedItems>
    </cacheField>
    <cacheField name="Average Daily Gain" numFmtId="2">
      <sharedItems containsSemiMixedTypes="0" containsString="0" containsNumber="1" minValue="1.4563492063492063" maxValue="2.1486486486486487" count="14">
        <n v="1.4563492063492063"/>
        <n v="1.8354430379746836"/>
        <n v="1.8928571428571428"/>
        <n v="1.4703196347031964"/>
        <n v="1.7136150234741785"/>
        <n v="1.7238095238095239"/>
        <n v="1.6225490196078431"/>
        <n v="1.5101010101010102"/>
        <n v="1.6256983240223464"/>
        <n v="1.9107142857142858"/>
        <n v="1.8902439024390243"/>
        <n v="2.1464968152866244"/>
        <n v="1.9870967741935484"/>
        <n v="2.148648648648648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1504"/>
    <d v="2021-02-22T00:00:00"/>
    <x v="0"/>
    <x v="0"/>
    <x v="0"/>
    <n v="1042"/>
    <x v="0"/>
    <x v="0"/>
    <x v="0"/>
  </r>
  <r>
    <n v="1505"/>
    <d v="2021-03-09T00:00:00"/>
    <x v="0"/>
    <x v="1"/>
    <x v="0"/>
    <n v="1139"/>
    <x v="1"/>
    <x v="1"/>
    <x v="1"/>
  </r>
  <r>
    <n v="1506"/>
    <d v="2021-03-22T00:00:00"/>
    <x v="1"/>
    <x v="2"/>
    <x v="1"/>
    <n v="1111"/>
    <x v="2"/>
    <x v="2"/>
    <x v="2"/>
  </r>
  <r>
    <n v="1507"/>
    <d v="2021-03-27T00:00:00"/>
    <x v="1"/>
    <x v="3"/>
    <x v="1"/>
    <n v="1023"/>
    <x v="3"/>
    <x v="3"/>
    <x v="3"/>
  </r>
  <r>
    <n v="1508"/>
    <d v="2021-04-02T00:00:00"/>
    <x v="0"/>
    <x v="4"/>
    <x v="2"/>
    <n v="930"/>
    <x v="4"/>
    <x v="4"/>
    <x v="4"/>
  </r>
  <r>
    <n v="1509"/>
    <d v="2021-04-05T00:00:00"/>
    <x v="1"/>
    <x v="5"/>
    <x v="3"/>
    <n v="1000"/>
    <x v="5"/>
    <x v="5"/>
    <x v="5"/>
  </r>
  <r>
    <n v="1510"/>
    <d v="2021-04-11T00:00:00"/>
    <x v="1"/>
    <x v="6"/>
    <x v="2"/>
    <n v="1061"/>
    <x v="6"/>
    <x v="6"/>
    <x v="6"/>
  </r>
  <r>
    <n v="1511"/>
    <d v="2021-04-17T00:00:00"/>
    <x v="0"/>
    <x v="7"/>
    <x v="1"/>
    <n v="925"/>
    <x v="7"/>
    <x v="7"/>
    <x v="7"/>
  </r>
  <r>
    <n v="1512"/>
    <d v="2021-05-06T00:00:00"/>
    <x v="1"/>
    <x v="8"/>
    <x v="0"/>
    <n v="1203"/>
    <x v="8"/>
    <x v="8"/>
    <x v="8"/>
  </r>
  <r>
    <n v="1513"/>
    <d v="2021-05-17T00:00:00"/>
    <x v="0"/>
    <x v="7"/>
    <x v="3"/>
    <n v="1131"/>
    <x v="9"/>
    <x v="9"/>
    <x v="9"/>
  </r>
  <r>
    <n v="1514"/>
    <d v="2021-05-21T00:00:00"/>
    <x v="0"/>
    <x v="9"/>
    <x v="2"/>
    <n v="936"/>
    <x v="10"/>
    <x v="10"/>
    <x v="10"/>
  </r>
  <r>
    <n v="1515"/>
    <d v="2021-05-28T00:00:00"/>
    <x v="1"/>
    <x v="10"/>
    <x v="2"/>
    <n v="1325"/>
    <x v="11"/>
    <x v="11"/>
    <x v="11"/>
  </r>
  <r>
    <n v="1516"/>
    <d v="2021-05-30T00:00:00"/>
    <x v="1"/>
    <x v="8"/>
    <x v="1"/>
    <n v="923"/>
    <x v="12"/>
    <x v="12"/>
    <x v="12"/>
  </r>
  <r>
    <n v="1517"/>
    <d v="2021-06-06T00:00:00"/>
    <x v="1"/>
    <x v="11"/>
    <x v="0"/>
    <n v="994"/>
    <x v="13"/>
    <x v="13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10DD36-54E8-448D-AD50-B5BEDC846684}" name="PivotTable3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T5:Y18" firstHeaderRow="0" firstDataRow="1" firstDataCol="1"/>
  <pivotFields count="9">
    <pivotField showAll="0"/>
    <pivotField numFmtId="187" showAll="0"/>
    <pivotField axis="axisRow" dataField="1" showAll="0">
      <items count="3">
        <item x="0"/>
        <item x="1"/>
        <item t="default"/>
      </items>
    </pivotField>
    <pivotField dataField="1" showAll="0">
      <items count="13">
        <item x="1"/>
        <item x="7"/>
        <item x="9"/>
        <item x="2"/>
        <item x="10"/>
        <item x="3"/>
        <item x="8"/>
        <item x="5"/>
        <item x="6"/>
        <item x="11"/>
        <item x="0"/>
        <item x="4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showAll="0"/>
    <pivotField dataField="1" showAll="0">
      <items count="15">
        <item x="7"/>
        <item x="10"/>
        <item x="8"/>
        <item x="9"/>
        <item x="12"/>
        <item x="3"/>
        <item x="11"/>
        <item x="13"/>
        <item x="6"/>
        <item x="5"/>
        <item x="0"/>
        <item x="4"/>
        <item x="1"/>
        <item x="2"/>
        <item t="default"/>
      </items>
    </pivotField>
    <pivotField dataField="1" showAll="0">
      <items count="15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numFmtId="2" showAll="0">
      <items count="15">
        <item x="0"/>
        <item x="3"/>
        <item x="7"/>
        <item x="6"/>
        <item x="8"/>
        <item x="4"/>
        <item x="5"/>
        <item x="1"/>
        <item x="10"/>
        <item x="2"/>
        <item x="9"/>
        <item x="12"/>
        <item x="11"/>
        <item x="13"/>
        <item t="default"/>
      </items>
    </pivotField>
  </pivotFields>
  <rowFields count="2">
    <field x="4"/>
    <field x="2"/>
  </rowFields>
  <rowItems count="13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Count of Bull or Heifer" fld="2" subtotal="count" baseField="0" baseItem="0"/>
    <dataField name="Average of Birth Weight" fld="3" subtotal="average" baseField="4" baseItem="0" numFmtId="179"/>
    <dataField name="Average of Weaning Weight" fld="6" subtotal="average" baseField="4" baseItem="1" numFmtId="179"/>
    <dataField name="Average of Age at Weaning (Days)" fld="7" subtotal="average" baseField="4" baseItem="1" numFmtId="179"/>
    <dataField name="Average of Average Daily Gain" fld="8" subtotal="average" baseField="4" baseItem="1" numFmtId="2"/>
  </dataFields>
  <formats count="13">
    <format dxfId="14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3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4" type="button" dataOnly="0" labelOnly="1" outline="0" axis="axisRow" fieldPosition="0"/>
    </format>
    <format dxfId="6">
      <pivotArea dataOnly="0" labelOnly="1" fieldPosition="0">
        <references count="1">
          <reference field="4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2" count="0"/>
          <reference field="4" count="1" selected="0">
            <x v="0"/>
          </reference>
        </references>
      </pivotArea>
    </format>
    <format dxfId="3">
      <pivotArea dataOnly="0" labelOnly="1" fieldPosition="0">
        <references count="2">
          <reference field="2" count="0"/>
          <reference field="4" count="1" selected="0">
            <x v="1"/>
          </reference>
        </references>
      </pivotArea>
    </format>
    <format dxfId="2">
      <pivotArea dataOnly="0" labelOnly="1" fieldPosition="0">
        <references count="2">
          <reference field="2" count="0"/>
          <reference field="4" count="1" selected="0">
            <x v="2"/>
          </reference>
        </references>
      </pivotArea>
    </format>
    <format dxfId="1">
      <pivotArea dataOnly="0" labelOnly="1" fieldPosition="0">
        <references count="2">
          <reference field="2" count="0"/>
          <reference field="4" count="1" selected="0">
            <x v="3"/>
          </reference>
        </references>
      </pivotArea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98E8-1B94-4E8E-81CD-659960411FC7}">
  <dimension ref="B1:D26"/>
  <sheetViews>
    <sheetView showGridLines="0" workbookViewId="0">
      <selection activeCell="C23" sqref="C23"/>
    </sheetView>
  </sheetViews>
  <sheetFormatPr defaultColWidth="9.1796875" defaultRowHeight="21" x14ac:dyDescent="0.5"/>
  <cols>
    <col min="1" max="1" width="2.1796875" style="580" customWidth="1"/>
    <col min="2" max="2" width="44.453125" style="580" bestFit="1" customWidth="1"/>
    <col min="3" max="3" width="19.54296875" style="580" customWidth="1"/>
    <col min="4" max="4" width="12.1796875" style="580" customWidth="1"/>
    <col min="5" max="16384" width="9.1796875" style="580"/>
  </cols>
  <sheetData>
    <row r="1" spans="2:4" ht="46.5" thickBot="1" x14ac:dyDescent="1.05">
      <c r="B1" s="602" t="s">
        <v>661</v>
      </c>
      <c r="C1" s="603"/>
      <c r="D1" s="604"/>
    </row>
    <row r="2" spans="2:4" ht="11.25" customHeight="1" x14ac:dyDescent="0.5">
      <c r="B2" s="581"/>
      <c r="C2" s="582"/>
      <c r="D2" s="583"/>
    </row>
    <row r="3" spans="2:4" ht="21.5" thickBot="1" x14ac:dyDescent="0.55000000000000004">
      <c r="B3" s="581" t="s">
        <v>662</v>
      </c>
      <c r="C3" s="584">
        <v>44562</v>
      </c>
      <c r="D3" s="583"/>
    </row>
    <row r="4" spans="2:4" ht="7" customHeight="1" thickBot="1" x14ac:dyDescent="0.55000000000000004">
      <c r="B4" s="585"/>
      <c r="C4" s="586"/>
      <c r="D4" s="587"/>
    </row>
    <row r="5" spans="2:4" ht="20" customHeight="1" x14ac:dyDescent="0.5">
      <c r="B5" s="581" t="s">
        <v>663</v>
      </c>
      <c r="C5" s="588">
        <v>284</v>
      </c>
      <c r="D5" s="583" t="s">
        <v>664</v>
      </c>
    </row>
    <row r="6" spans="2:4" ht="20" customHeight="1" x14ac:dyDescent="0.5">
      <c r="B6" s="581" t="s">
        <v>665</v>
      </c>
      <c r="C6" s="588">
        <v>305</v>
      </c>
      <c r="D6" s="583" t="s">
        <v>664</v>
      </c>
    </row>
    <row r="7" spans="2:4" ht="20" customHeight="1" thickBot="1" x14ac:dyDescent="0.55000000000000004">
      <c r="B7" s="581" t="s">
        <v>666</v>
      </c>
      <c r="C7" s="588">
        <v>60</v>
      </c>
      <c r="D7" s="583" t="s">
        <v>664</v>
      </c>
    </row>
    <row r="8" spans="2:4" ht="8" customHeight="1" thickBot="1" x14ac:dyDescent="0.55000000000000004">
      <c r="B8" s="585"/>
      <c r="C8" s="586"/>
      <c r="D8" s="587"/>
    </row>
    <row r="9" spans="2:4" x14ac:dyDescent="0.5">
      <c r="B9" s="581" t="s">
        <v>667</v>
      </c>
      <c r="C9" s="588">
        <v>21</v>
      </c>
      <c r="D9" s="583" t="s">
        <v>664</v>
      </c>
    </row>
    <row r="10" spans="2:4" ht="20.25" customHeight="1" x14ac:dyDescent="0.5">
      <c r="B10" s="581" t="s">
        <v>668</v>
      </c>
      <c r="C10" s="588">
        <v>2</v>
      </c>
      <c r="D10" s="583" t="s">
        <v>669</v>
      </c>
    </row>
    <row r="11" spans="2:4" ht="21.5" thickBot="1" x14ac:dyDescent="0.55000000000000004">
      <c r="B11" s="581" t="s">
        <v>670</v>
      </c>
      <c r="C11" s="588">
        <v>60</v>
      </c>
      <c r="D11" s="583" t="s">
        <v>664</v>
      </c>
    </row>
    <row r="12" spans="2:4" ht="7" customHeight="1" thickBot="1" x14ac:dyDescent="0.55000000000000004">
      <c r="B12" s="585"/>
      <c r="C12" s="586"/>
      <c r="D12" s="587"/>
    </row>
    <row r="13" spans="2:4" ht="21" customHeight="1" x14ac:dyDescent="0.5">
      <c r="B13" s="581" t="s">
        <v>671</v>
      </c>
      <c r="C13" s="605">
        <f>C3+C7</f>
        <v>44622</v>
      </c>
      <c r="D13" s="606"/>
    </row>
    <row r="14" spans="2:4" ht="21" customHeight="1" thickBot="1" x14ac:dyDescent="0.55000000000000004">
      <c r="B14" s="581" t="s">
        <v>672</v>
      </c>
      <c r="C14" s="607">
        <f>C13+C9*(C10-1)</f>
        <v>44643</v>
      </c>
      <c r="D14" s="608"/>
    </row>
    <row r="15" spans="2:4" ht="7" customHeight="1" thickBot="1" x14ac:dyDescent="0.55000000000000004">
      <c r="B15" s="585"/>
      <c r="C15" s="586"/>
      <c r="D15" s="587"/>
    </row>
    <row r="16" spans="2:4" ht="21" customHeight="1" thickBot="1" x14ac:dyDescent="0.55000000000000004">
      <c r="B16" s="581" t="s">
        <v>673</v>
      </c>
      <c r="C16" s="609">
        <f>C3+C6</f>
        <v>44867</v>
      </c>
      <c r="D16" s="610"/>
    </row>
    <row r="17" spans="2:4" ht="7" customHeight="1" thickBot="1" x14ac:dyDescent="0.55000000000000004">
      <c r="B17" s="585"/>
      <c r="C17" s="586"/>
      <c r="D17" s="587"/>
    </row>
    <row r="18" spans="2:4" ht="21" customHeight="1" thickBot="1" x14ac:dyDescent="0.55000000000000004">
      <c r="B18" s="581" t="s">
        <v>714</v>
      </c>
      <c r="C18" s="609">
        <f>C14+C5</f>
        <v>44927</v>
      </c>
      <c r="D18" s="610"/>
    </row>
    <row r="19" spans="2:4" ht="7" customHeight="1" thickBot="1" x14ac:dyDescent="0.55000000000000004">
      <c r="B19" s="585"/>
      <c r="C19" s="586"/>
      <c r="D19" s="587"/>
    </row>
    <row r="20" spans="2:4" ht="21" customHeight="1" x14ac:dyDescent="0.5">
      <c r="B20" s="589"/>
      <c r="C20" s="611"/>
      <c r="D20" s="611"/>
    </row>
    <row r="26" spans="2:4" x14ac:dyDescent="0.5">
      <c r="B26" s="4" t="s">
        <v>650</v>
      </c>
    </row>
  </sheetData>
  <mergeCells count="6">
    <mergeCell ref="C20:D20"/>
    <mergeCell ref="B1:D1"/>
    <mergeCell ref="C13:D13"/>
    <mergeCell ref="C14:D14"/>
    <mergeCell ref="C16:D16"/>
    <mergeCell ref="C18:D18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5FCAD-FB66-4E07-9F14-59905CE40366}">
  <dimension ref="A1:J28"/>
  <sheetViews>
    <sheetView zoomScale="120" zoomScaleNormal="120" workbookViewId="0">
      <selection activeCell="E7" sqref="E7:E16"/>
    </sheetView>
  </sheetViews>
  <sheetFormatPr defaultRowHeight="14.5" x14ac:dyDescent="0.35"/>
  <cols>
    <col min="1" max="1" width="6" customWidth="1"/>
    <col min="2" max="2" width="30" customWidth="1"/>
    <col min="3" max="3" width="27.453125" customWidth="1"/>
    <col min="4" max="4" width="20.36328125" customWidth="1"/>
    <col min="5" max="5" width="16" customWidth="1"/>
    <col min="6" max="6" width="16.54296875" customWidth="1"/>
  </cols>
  <sheetData>
    <row r="1" spans="1:10" ht="23.5" x14ac:dyDescent="0.55000000000000004">
      <c r="A1" s="676" t="s">
        <v>730</v>
      </c>
    </row>
    <row r="3" spans="1:10" ht="15.5" x14ac:dyDescent="0.35">
      <c r="A3" s="402" t="s">
        <v>731</v>
      </c>
      <c r="B3" s="8"/>
    </row>
    <row r="4" spans="1:10" ht="15.5" x14ac:dyDescent="0.35">
      <c r="A4" s="402"/>
    </row>
    <row r="5" spans="1:10" ht="18.5" x14ac:dyDescent="0.45">
      <c r="A5" s="402"/>
      <c r="B5" s="677" t="s">
        <v>652</v>
      </c>
      <c r="C5" s="677" t="s">
        <v>728</v>
      </c>
      <c r="D5" s="677" t="s">
        <v>122</v>
      </c>
      <c r="E5" s="677" t="s">
        <v>653</v>
      </c>
      <c r="F5" s="677" t="s">
        <v>120</v>
      </c>
      <c r="H5" s="675"/>
      <c r="J5" s="570"/>
    </row>
    <row r="6" spans="1:10" ht="15.5" x14ac:dyDescent="0.35">
      <c r="A6" s="402" t="s">
        <v>2</v>
      </c>
      <c r="J6" s="570"/>
    </row>
    <row r="7" spans="1:10" ht="15.5" x14ac:dyDescent="0.35">
      <c r="A7" s="402"/>
      <c r="B7" t="s">
        <v>732</v>
      </c>
      <c r="C7" s="1" t="s">
        <v>729</v>
      </c>
      <c r="D7" s="696">
        <v>1000</v>
      </c>
      <c r="E7" s="697">
        <v>5</v>
      </c>
      <c r="J7" s="570"/>
    </row>
    <row r="8" spans="1:10" ht="15.5" x14ac:dyDescent="0.35">
      <c r="A8" s="402"/>
      <c r="B8" t="s">
        <v>659</v>
      </c>
      <c r="C8" s="1" t="s">
        <v>745</v>
      </c>
      <c r="D8" s="696">
        <v>300</v>
      </c>
      <c r="E8" s="697">
        <v>8</v>
      </c>
      <c r="J8" s="570"/>
    </row>
    <row r="9" spans="1:10" ht="15.5" x14ac:dyDescent="0.35">
      <c r="A9" s="681"/>
      <c r="B9" s="8" t="s">
        <v>9</v>
      </c>
      <c r="C9" s="682"/>
      <c r="D9" s="683"/>
      <c r="E9" s="703"/>
      <c r="F9" s="8"/>
      <c r="J9" s="13"/>
    </row>
    <row r="10" spans="1:10" ht="15.5" x14ac:dyDescent="0.35">
      <c r="A10" s="402" t="s">
        <v>352</v>
      </c>
      <c r="C10" s="1"/>
      <c r="D10" s="680"/>
      <c r="E10" s="570"/>
      <c r="J10" s="13"/>
    </row>
    <row r="11" spans="1:10" ht="15.5" x14ac:dyDescent="0.35">
      <c r="A11" s="402"/>
      <c r="C11" s="1"/>
      <c r="D11" s="680"/>
      <c r="E11" s="570"/>
    </row>
    <row r="12" spans="1:10" ht="15.5" x14ac:dyDescent="0.35">
      <c r="A12" s="402" t="s">
        <v>16</v>
      </c>
      <c r="C12" s="1"/>
      <c r="D12" s="680"/>
      <c r="E12" s="570"/>
    </row>
    <row r="13" spans="1:10" ht="15.5" x14ac:dyDescent="0.35">
      <c r="A13" s="402"/>
      <c r="B13" t="s">
        <v>733</v>
      </c>
      <c r="C13" s="1" t="s">
        <v>746</v>
      </c>
      <c r="D13" s="696">
        <v>350</v>
      </c>
      <c r="E13" s="697">
        <v>4.5</v>
      </c>
    </row>
    <row r="14" spans="1:10" ht="15.5" x14ac:dyDescent="0.35">
      <c r="A14" s="402"/>
      <c r="B14" t="s">
        <v>353</v>
      </c>
      <c r="C14" s="1" t="s">
        <v>94</v>
      </c>
      <c r="D14" s="696">
        <v>40</v>
      </c>
      <c r="E14" s="697">
        <v>12</v>
      </c>
    </row>
    <row r="15" spans="1:10" ht="15.5" x14ac:dyDescent="0.35">
      <c r="A15" s="402"/>
      <c r="B15" t="s">
        <v>355</v>
      </c>
      <c r="C15" s="1" t="s">
        <v>737</v>
      </c>
      <c r="D15" s="696">
        <v>1</v>
      </c>
      <c r="E15" s="697">
        <v>1350</v>
      </c>
    </row>
    <row r="16" spans="1:10" ht="15.5" x14ac:dyDescent="0.35">
      <c r="A16" s="402"/>
      <c r="B16" t="s">
        <v>657</v>
      </c>
      <c r="C16" s="1" t="s">
        <v>736</v>
      </c>
      <c r="D16" s="696">
        <v>1</v>
      </c>
      <c r="E16" s="697">
        <v>1500</v>
      </c>
    </row>
    <row r="17" spans="1:6" ht="15.5" x14ac:dyDescent="0.35">
      <c r="A17" s="402"/>
      <c r="B17" t="s">
        <v>9</v>
      </c>
      <c r="E17" s="570"/>
    </row>
    <row r="18" spans="1:6" ht="15.5" x14ac:dyDescent="0.35">
      <c r="A18" s="681"/>
      <c r="B18" s="8" t="s">
        <v>734</v>
      </c>
      <c r="C18" s="8"/>
      <c r="D18" s="8"/>
      <c r="E18" s="684"/>
      <c r="F18" s="8"/>
    </row>
    <row r="19" spans="1:6" ht="15.5" x14ac:dyDescent="0.35">
      <c r="A19" s="402" t="s">
        <v>379</v>
      </c>
      <c r="E19" s="570"/>
    </row>
    <row r="20" spans="1:6" ht="15.5" x14ac:dyDescent="0.35">
      <c r="A20" s="402"/>
      <c r="E20" s="570"/>
    </row>
    <row r="21" spans="1:6" ht="15.5" x14ac:dyDescent="0.35">
      <c r="A21" s="402" t="s">
        <v>735</v>
      </c>
      <c r="E21" s="570"/>
    </row>
    <row r="22" spans="1:6" ht="15" thickBot="1" x14ac:dyDescent="0.4"/>
    <row r="23" spans="1:6" ht="19" thickBot="1" x14ac:dyDescent="0.5">
      <c r="A23" s="691" t="s">
        <v>741</v>
      </c>
      <c r="B23" s="692"/>
      <c r="C23" s="692"/>
      <c r="D23" s="693"/>
    </row>
    <row r="24" spans="1:6" x14ac:dyDescent="0.35">
      <c r="A24" s="685"/>
      <c r="B24" s="686" t="s">
        <v>738</v>
      </c>
      <c r="C24" s="16"/>
      <c r="D24" s="694" t="s">
        <v>742</v>
      </c>
    </row>
    <row r="25" spans="1:6" x14ac:dyDescent="0.35">
      <c r="A25" s="685"/>
      <c r="B25" s="686"/>
      <c r="C25" s="16"/>
      <c r="D25" s="687"/>
    </row>
    <row r="26" spans="1:6" x14ac:dyDescent="0.35">
      <c r="A26" s="685"/>
      <c r="B26" s="686" t="s">
        <v>739</v>
      </c>
      <c r="C26" s="16"/>
      <c r="D26" s="687" t="s">
        <v>743</v>
      </c>
    </row>
    <row r="27" spans="1:6" x14ac:dyDescent="0.35">
      <c r="A27" s="685"/>
      <c r="B27" s="686"/>
      <c r="C27" s="16"/>
      <c r="D27" s="687"/>
    </row>
    <row r="28" spans="1:6" ht="15" thickBot="1" x14ac:dyDescent="0.4">
      <c r="A28" s="688"/>
      <c r="B28" s="689" t="s">
        <v>740</v>
      </c>
      <c r="C28" s="690"/>
      <c r="D28" s="695" t="s">
        <v>744</v>
      </c>
    </row>
  </sheetData>
  <mergeCells count="1">
    <mergeCell ref="A23:D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CF1A5-D2F8-43E1-9C9E-591F780B29EB}">
  <dimension ref="A1:J28"/>
  <sheetViews>
    <sheetView zoomScale="120" zoomScaleNormal="120" workbookViewId="0">
      <selection activeCell="F22" sqref="F22"/>
    </sheetView>
  </sheetViews>
  <sheetFormatPr defaultRowHeight="14.5" x14ac:dyDescent="0.35"/>
  <cols>
    <col min="1" max="1" width="6" customWidth="1"/>
    <col min="2" max="2" width="30" customWidth="1"/>
    <col min="3" max="3" width="27.453125" customWidth="1"/>
    <col min="4" max="4" width="20.36328125" customWidth="1"/>
    <col min="5" max="5" width="16" customWidth="1"/>
    <col min="6" max="6" width="16.54296875" customWidth="1"/>
  </cols>
  <sheetData>
    <row r="1" spans="1:10" ht="23.5" x14ac:dyDescent="0.55000000000000004">
      <c r="A1" s="676" t="s">
        <v>730</v>
      </c>
    </row>
    <row r="3" spans="1:10" ht="15.5" x14ac:dyDescent="0.35">
      <c r="A3" s="402" t="s">
        <v>731</v>
      </c>
      <c r="B3" s="8"/>
    </row>
    <row r="4" spans="1:10" ht="15.5" x14ac:dyDescent="0.35">
      <c r="A4" s="402"/>
    </row>
    <row r="5" spans="1:10" ht="18.5" x14ac:dyDescent="0.45">
      <c r="A5" s="402"/>
      <c r="B5" s="677" t="s">
        <v>652</v>
      </c>
      <c r="C5" s="677" t="s">
        <v>728</v>
      </c>
      <c r="D5" s="677" t="s">
        <v>122</v>
      </c>
      <c r="E5" s="677" t="s">
        <v>653</v>
      </c>
      <c r="F5" s="677" t="s">
        <v>120</v>
      </c>
      <c r="H5" s="675"/>
      <c r="J5" s="570"/>
    </row>
    <row r="6" spans="1:10" ht="15.5" x14ac:dyDescent="0.35">
      <c r="A6" s="402" t="s">
        <v>2</v>
      </c>
      <c r="J6" s="570"/>
    </row>
    <row r="7" spans="1:10" ht="15.5" x14ac:dyDescent="0.35">
      <c r="A7" s="402"/>
      <c r="B7" t="s">
        <v>732</v>
      </c>
      <c r="C7" s="1" t="s">
        <v>729</v>
      </c>
      <c r="D7" s="696">
        <v>1000</v>
      </c>
      <c r="E7" s="697">
        <v>5</v>
      </c>
      <c r="F7" s="699">
        <f>D7*E7</f>
        <v>5000</v>
      </c>
      <c r="J7" s="570"/>
    </row>
    <row r="8" spans="1:10" ht="15.5" x14ac:dyDescent="0.35">
      <c r="A8" s="402"/>
      <c r="B8" t="s">
        <v>659</v>
      </c>
      <c r="C8" s="1" t="s">
        <v>745</v>
      </c>
      <c r="D8" s="696">
        <v>300</v>
      </c>
      <c r="E8" s="697">
        <v>8</v>
      </c>
      <c r="F8" s="700">
        <f t="shared" ref="F8:F9" si="0">D8*E8</f>
        <v>2400</v>
      </c>
      <c r="J8" s="570"/>
    </row>
    <row r="9" spans="1:10" ht="15.5" x14ac:dyDescent="0.35">
      <c r="A9" s="681"/>
      <c r="B9" s="8" t="s">
        <v>9</v>
      </c>
      <c r="C9" s="682"/>
      <c r="D9" s="702"/>
      <c r="E9" s="703"/>
      <c r="F9" s="703">
        <f t="shared" si="0"/>
        <v>0</v>
      </c>
      <c r="J9" s="13"/>
    </row>
    <row r="10" spans="1:10" ht="15.5" x14ac:dyDescent="0.35">
      <c r="A10" s="402" t="s">
        <v>352</v>
      </c>
      <c r="C10" s="1"/>
      <c r="D10" s="680"/>
      <c r="E10" s="570"/>
      <c r="J10" s="13"/>
    </row>
    <row r="11" spans="1:10" ht="15.5" x14ac:dyDescent="0.35">
      <c r="A11" s="402"/>
      <c r="C11" s="1"/>
      <c r="D11" s="680"/>
      <c r="E11" s="570"/>
    </row>
    <row r="12" spans="1:10" ht="15.5" x14ac:dyDescent="0.35">
      <c r="A12" s="402" t="s">
        <v>16</v>
      </c>
      <c r="C12" s="1"/>
      <c r="D12" s="680"/>
      <c r="E12" s="570"/>
    </row>
    <row r="13" spans="1:10" ht="15.5" x14ac:dyDescent="0.35">
      <c r="A13" s="402"/>
      <c r="B13" t="s">
        <v>733</v>
      </c>
      <c r="C13" s="1" t="s">
        <v>746</v>
      </c>
      <c r="D13" s="696">
        <v>350</v>
      </c>
      <c r="E13" s="697">
        <v>4.5</v>
      </c>
      <c r="F13" s="698">
        <f t="shared" ref="F13:F18" si="1">D13*E13</f>
        <v>1575</v>
      </c>
    </row>
    <row r="14" spans="1:10" ht="15.5" x14ac:dyDescent="0.35">
      <c r="A14" s="402"/>
      <c r="B14" t="s">
        <v>353</v>
      </c>
      <c r="C14" s="1" t="s">
        <v>94</v>
      </c>
      <c r="D14" s="696">
        <v>40</v>
      </c>
      <c r="E14" s="697">
        <v>12</v>
      </c>
      <c r="F14" s="698">
        <f t="shared" si="1"/>
        <v>480</v>
      </c>
    </row>
    <row r="15" spans="1:10" ht="15.5" x14ac:dyDescent="0.35">
      <c r="A15" s="402"/>
      <c r="B15" t="s">
        <v>355</v>
      </c>
      <c r="C15" s="1" t="s">
        <v>737</v>
      </c>
      <c r="D15" s="696">
        <v>1</v>
      </c>
      <c r="E15" s="697">
        <v>1350</v>
      </c>
      <c r="F15" s="698">
        <f t="shared" si="1"/>
        <v>1350</v>
      </c>
    </row>
    <row r="16" spans="1:10" ht="15.5" x14ac:dyDescent="0.35">
      <c r="A16" s="402"/>
      <c r="B16" t="s">
        <v>657</v>
      </c>
      <c r="C16" s="1" t="s">
        <v>736</v>
      </c>
      <c r="D16" s="696">
        <v>1</v>
      </c>
      <c r="E16" s="697">
        <v>1500</v>
      </c>
      <c r="F16" s="698">
        <f t="shared" si="1"/>
        <v>1500</v>
      </c>
    </row>
    <row r="17" spans="1:6" ht="15.5" x14ac:dyDescent="0.35">
      <c r="A17" s="402"/>
      <c r="B17" t="s">
        <v>9</v>
      </c>
      <c r="E17" s="570"/>
      <c r="F17" s="704">
        <f t="shared" si="1"/>
        <v>0</v>
      </c>
    </row>
    <row r="18" spans="1:6" ht="15.5" x14ac:dyDescent="0.35">
      <c r="A18" s="681"/>
      <c r="B18" s="8" t="s">
        <v>734</v>
      </c>
      <c r="C18" s="8"/>
      <c r="D18" s="8"/>
      <c r="E18" s="684"/>
      <c r="F18" s="684"/>
    </row>
    <row r="19" spans="1:6" ht="15.5" x14ac:dyDescent="0.35">
      <c r="A19" s="402" t="s">
        <v>379</v>
      </c>
      <c r="E19" s="570"/>
    </row>
    <row r="20" spans="1:6" ht="15.5" x14ac:dyDescent="0.35">
      <c r="A20" s="402"/>
      <c r="E20" s="570"/>
    </row>
    <row r="21" spans="1:6" ht="15.5" x14ac:dyDescent="0.35">
      <c r="A21" s="402" t="s">
        <v>735</v>
      </c>
      <c r="E21" s="570"/>
    </row>
    <row r="22" spans="1:6" ht="15" thickBot="1" x14ac:dyDescent="0.4"/>
    <row r="23" spans="1:6" ht="19" thickBot="1" x14ac:dyDescent="0.5">
      <c r="A23" s="691" t="s">
        <v>741</v>
      </c>
      <c r="B23" s="692"/>
      <c r="C23" s="692"/>
      <c r="D23" s="693"/>
    </row>
    <row r="24" spans="1:6" x14ac:dyDescent="0.35">
      <c r="A24" s="685"/>
      <c r="B24" s="686" t="s">
        <v>738</v>
      </c>
      <c r="C24" s="16"/>
      <c r="D24" s="694" t="s">
        <v>742</v>
      </c>
    </row>
    <row r="25" spans="1:6" x14ac:dyDescent="0.35">
      <c r="A25" s="685"/>
      <c r="B25" s="686"/>
      <c r="C25" s="16"/>
      <c r="D25" s="687"/>
    </row>
    <row r="26" spans="1:6" x14ac:dyDescent="0.35">
      <c r="A26" s="685"/>
      <c r="B26" s="686" t="s">
        <v>739</v>
      </c>
      <c r="C26" s="16"/>
      <c r="D26" s="687" t="s">
        <v>743</v>
      </c>
    </row>
    <row r="27" spans="1:6" x14ac:dyDescent="0.35">
      <c r="A27" s="685"/>
      <c r="B27" s="686"/>
      <c r="C27" s="16"/>
      <c r="D27" s="687"/>
    </row>
    <row r="28" spans="1:6" ht="15" thickBot="1" x14ac:dyDescent="0.4">
      <c r="A28" s="688"/>
      <c r="B28" s="689" t="s">
        <v>740</v>
      </c>
      <c r="C28" s="690"/>
      <c r="D28" s="695" t="s">
        <v>744</v>
      </c>
    </row>
  </sheetData>
  <mergeCells count="1">
    <mergeCell ref="A23:D23"/>
  </mergeCells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D01E-D2AC-42B0-BBD3-21AAB95785D8}">
  <dimension ref="A1:J28"/>
  <sheetViews>
    <sheetView zoomScale="120" zoomScaleNormal="120" workbookViewId="0">
      <selection activeCell="E7" sqref="E7:E16"/>
    </sheetView>
  </sheetViews>
  <sheetFormatPr defaultRowHeight="14.5" x14ac:dyDescent="0.35"/>
  <cols>
    <col min="1" max="1" width="6" customWidth="1"/>
    <col min="2" max="2" width="30" customWidth="1"/>
    <col min="3" max="3" width="27.453125" customWidth="1"/>
    <col min="4" max="4" width="20.36328125" customWidth="1"/>
    <col min="5" max="5" width="16" customWidth="1"/>
    <col min="6" max="6" width="16.54296875" customWidth="1"/>
  </cols>
  <sheetData>
    <row r="1" spans="1:10" ht="23.5" x14ac:dyDescent="0.55000000000000004">
      <c r="A1" s="676" t="s">
        <v>730</v>
      </c>
    </row>
    <row r="3" spans="1:10" ht="15.5" x14ac:dyDescent="0.35">
      <c r="A3" s="402" t="s">
        <v>731</v>
      </c>
      <c r="B3" s="8"/>
    </row>
    <row r="4" spans="1:10" ht="15.5" x14ac:dyDescent="0.35">
      <c r="A4" s="402"/>
    </row>
    <row r="5" spans="1:10" ht="18.5" x14ac:dyDescent="0.45">
      <c r="A5" s="402"/>
      <c r="B5" s="677" t="s">
        <v>652</v>
      </c>
      <c r="C5" s="677" t="s">
        <v>728</v>
      </c>
      <c r="D5" s="677" t="s">
        <v>122</v>
      </c>
      <c r="E5" s="677" t="s">
        <v>653</v>
      </c>
      <c r="F5" s="677" t="s">
        <v>120</v>
      </c>
      <c r="H5" s="675"/>
      <c r="J5" s="570"/>
    </row>
    <row r="6" spans="1:10" ht="15.5" x14ac:dyDescent="0.35">
      <c r="A6" s="402" t="s">
        <v>2</v>
      </c>
      <c r="J6" s="570"/>
    </row>
    <row r="7" spans="1:10" ht="15.5" x14ac:dyDescent="0.35">
      <c r="A7" s="402"/>
      <c r="B7" t="s">
        <v>732</v>
      </c>
      <c r="C7" s="1" t="s">
        <v>729</v>
      </c>
      <c r="D7" s="696">
        <v>1000</v>
      </c>
      <c r="E7" s="697">
        <v>5</v>
      </c>
      <c r="F7" s="699">
        <f>D7*E7</f>
        <v>5000</v>
      </c>
      <c r="J7" s="570"/>
    </row>
    <row r="8" spans="1:10" ht="15.5" x14ac:dyDescent="0.35">
      <c r="A8" s="402"/>
      <c r="B8" t="s">
        <v>659</v>
      </c>
      <c r="C8" s="1" t="s">
        <v>745</v>
      </c>
      <c r="D8" s="696">
        <v>300</v>
      </c>
      <c r="E8" s="697">
        <v>8</v>
      </c>
      <c r="F8" s="700">
        <f t="shared" ref="F8:F9" si="0">D8*E8</f>
        <v>2400</v>
      </c>
      <c r="J8" s="570"/>
    </row>
    <row r="9" spans="1:10" ht="15.5" x14ac:dyDescent="0.35">
      <c r="A9" s="681"/>
      <c r="B9" s="8" t="s">
        <v>9</v>
      </c>
      <c r="C9" s="682"/>
      <c r="D9" s="702"/>
      <c r="E9" s="703"/>
      <c r="F9" s="701">
        <f t="shared" si="0"/>
        <v>0</v>
      </c>
      <c r="J9" s="13"/>
    </row>
    <row r="10" spans="1:10" ht="15.5" x14ac:dyDescent="0.35">
      <c r="A10" s="402" t="s">
        <v>352</v>
      </c>
      <c r="C10" s="1"/>
      <c r="D10" s="680"/>
      <c r="E10" s="570"/>
      <c r="F10" s="570">
        <f>SUM(F7:F9)</f>
        <v>7400</v>
      </c>
      <c r="J10" s="13"/>
    </row>
    <row r="11" spans="1:10" ht="15.5" x14ac:dyDescent="0.35">
      <c r="A11" s="402"/>
      <c r="C11" s="1"/>
      <c r="D11" s="680"/>
      <c r="E11" s="570"/>
    </row>
    <row r="12" spans="1:10" ht="15.5" x14ac:dyDescent="0.35">
      <c r="A12" s="402" t="s">
        <v>16</v>
      </c>
      <c r="C12" s="1"/>
      <c r="D12" s="680"/>
      <c r="E12" s="570"/>
    </row>
    <row r="13" spans="1:10" ht="15.5" x14ac:dyDescent="0.35">
      <c r="A13" s="402"/>
      <c r="B13" t="s">
        <v>733</v>
      </c>
      <c r="C13" s="1" t="s">
        <v>746</v>
      </c>
      <c r="D13" s="696">
        <v>350</v>
      </c>
      <c r="E13" s="697">
        <v>4.5</v>
      </c>
      <c r="F13" s="698">
        <f t="shared" ref="F13:F18" si="1">D13*E13</f>
        <v>1575</v>
      </c>
    </row>
    <row r="14" spans="1:10" ht="15.5" x14ac:dyDescent="0.35">
      <c r="A14" s="402"/>
      <c r="B14" t="s">
        <v>353</v>
      </c>
      <c r="C14" s="1" t="s">
        <v>94</v>
      </c>
      <c r="D14" s="696">
        <v>40</v>
      </c>
      <c r="E14" s="697">
        <v>12</v>
      </c>
      <c r="F14" s="698">
        <f t="shared" si="1"/>
        <v>480</v>
      </c>
    </row>
    <row r="15" spans="1:10" ht="15.5" x14ac:dyDescent="0.35">
      <c r="A15" s="402"/>
      <c r="B15" t="s">
        <v>355</v>
      </c>
      <c r="C15" s="1" t="s">
        <v>737</v>
      </c>
      <c r="D15" s="696">
        <v>1</v>
      </c>
      <c r="E15" s="697">
        <v>1350</v>
      </c>
      <c r="F15" s="698">
        <f t="shared" si="1"/>
        <v>1350</v>
      </c>
    </row>
    <row r="16" spans="1:10" ht="15.5" x14ac:dyDescent="0.35">
      <c r="A16" s="402"/>
      <c r="B16" t="s">
        <v>657</v>
      </c>
      <c r="C16" s="1" t="s">
        <v>736</v>
      </c>
      <c r="D16" s="696">
        <v>1</v>
      </c>
      <c r="E16" s="697">
        <v>1500</v>
      </c>
      <c r="F16" s="698">
        <f t="shared" si="1"/>
        <v>1500</v>
      </c>
    </row>
    <row r="17" spans="1:6" ht="15.5" x14ac:dyDescent="0.35">
      <c r="A17" s="402"/>
      <c r="B17" t="s">
        <v>9</v>
      </c>
      <c r="E17" s="570"/>
      <c r="F17" s="698">
        <f t="shared" si="1"/>
        <v>0</v>
      </c>
    </row>
    <row r="18" spans="1:6" ht="15.5" x14ac:dyDescent="0.35">
      <c r="A18" s="681"/>
      <c r="B18" s="8" t="s">
        <v>734</v>
      </c>
      <c r="C18" s="8"/>
      <c r="D18" s="684">
        <f>SUM(F13:F17)</f>
        <v>4905</v>
      </c>
      <c r="E18" s="705">
        <v>0.1</v>
      </c>
      <c r="F18" s="684">
        <f>D18*E18</f>
        <v>490.5</v>
      </c>
    </row>
    <row r="19" spans="1:6" ht="15.5" x14ac:dyDescent="0.35">
      <c r="A19" s="402" t="s">
        <v>379</v>
      </c>
      <c r="E19" s="570"/>
    </row>
    <row r="20" spans="1:6" ht="15.5" x14ac:dyDescent="0.35">
      <c r="A20" s="402"/>
      <c r="E20" s="570"/>
    </row>
    <row r="21" spans="1:6" ht="15.5" x14ac:dyDescent="0.35">
      <c r="A21" s="402" t="s">
        <v>735</v>
      </c>
      <c r="E21" s="570"/>
    </row>
    <row r="22" spans="1:6" ht="15" thickBot="1" x14ac:dyDescent="0.4"/>
    <row r="23" spans="1:6" ht="19" thickBot="1" x14ac:dyDescent="0.5">
      <c r="A23" s="691" t="s">
        <v>741</v>
      </c>
      <c r="B23" s="692"/>
      <c r="C23" s="692"/>
      <c r="D23" s="693"/>
    </row>
    <row r="24" spans="1:6" x14ac:dyDescent="0.35">
      <c r="A24" s="685"/>
      <c r="B24" s="686" t="s">
        <v>738</v>
      </c>
      <c r="C24" s="16"/>
      <c r="D24" s="694" t="s">
        <v>742</v>
      </c>
    </row>
    <row r="25" spans="1:6" x14ac:dyDescent="0.35">
      <c r="A25" s="685"/>
      <c r="B25" s="686"/>
      <c r="C25" s="16"/>
      <c r="D25" s="687"/>
    </row>
    <row r="26" spans="1:6" x14ac:dyDescent="0.35">
      <c r="A26" s="685"/>
      <c r="B26" s="686" t="s">
        <v>739</v>
      </c>
      <c r="C26" s="16"/>
      <c r="D26" s="687" t="s">
        <v>743</v>
      </c>
    </row>
    <row r="27" spans="1:6" x14ac:dyDescent="0.35">
      <c r="A27" s="685"/>
      <c r="B27" s="686"/>
      <c r="C27" s="16"/>
      <c r="D27" s="687"/>
    </row>
    <row r="28" spans="1:6" ht="15" thickBot="1" x14ac:dyDescent="0.4">
      <c r="A28" s="688"/>
      <c r="B28" s="689" t="s">
        <v>740</v>
      </c>
      <c r="C28" s="690"/>
      <c r="D28" s="695" t="s">
        <v>744</v>
      </c>
    </row>
  </sheetData>
  <mergeCells count="1"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386F-9A73-4F8F-92A1-461BBD9CE4EA}">
  <dimension ref="A1:J28"/>
  <sheetViews>
    <sheetView zoomScale="120" zoomScaleNormal="120" workbookViewId="0">
      <selection activeCell="E24" sqref="E24"/>
    </sheetView>
  </sheetViews>
  <sheetFormatPr defaultRowHeight="14.5" x14ac:dyDescent="0.35"/>
  <cols>
    <col min="1" max="1" width="6" customWidth="1"/>
    <col min="2" max="2" width="30" customWidth="1"/>
    <col min="3" max="3" width="27.453125" customWidth="1"/>
    <col min="4" max="4" width="20.36328125" customWidth="1"/>
    <col min="5" max="5" width="16" customWidth="1"/>
    <col min="6" max="6" width="16.54296875" customWidth="1"/>
  </cols>
  <sheetData>
    <row r="1" spans="1:10" ht="23.5" x14ac:dyDescent="0.55000000000000004">
      <c r="A1" s="676" t="s">
        <v>730</v>
      </c>
    </row>
    <row r="3" spans="1:10" ht="15.5" x14ac:dyDescent="0.35">
      <c r="A3" s="402" t="s">
        <v>731</v>
      </c>
      <c r="B3" s="719"/>
    </row>
    <row r="4" spans="1:10" ht="15.5" x14ac:dyDescent="0.35">
      <c r="A4" s="402"/>
    </row>
    <row r="5" spans="1:10" ht="18.5" x14ac:dyDescent="0.45">
      <c r="A5" s="402"/>
      <c r="B5" s="677" t="s">
        <v>652</v>
      </c>
      <c r="C5" s="677" t="s">
        <v>728</v>
      </c>
      <c r="D5" s="677" t="s">
        <v>122</v>
      </c>
      <c r="E5" s="677" t="s">
        <v>653</v>
      </c>
      <c r="F5" s="677" t="s">
        <v>120</v>
      </c>
      <c r="H5" s="675"/>
      <c r="J5" s="570"/>
    </row>
    <row r="6" spans="1:10" ht="15.5" x14ac:dyDescent="0.35">
      <c r="A6" s="402" t="s">
        <v>2</v>
      </c>
      <c r="J6" s="570"/>
    </row>
    <row r="7" spans="1:10" ht="15.5" x14ac:dyDescent="0.35">
      <c r="A7" s="402"/>
      <c r="B7" t="s">
        <v>732</v>
      </c>
      <c r="C7" s="1" t="s">
        <v>729</v>
      </c>
      <c r="D7" s="712">
        <v>1000</v>
      </c>
      <c r="E7" s="713">
        <v>5</v>
      </c>
      <c r="F7" s="699">
        <f>D7*E7</f>
        <v>5000</v>
      </c>
      <c r="J7" s="570"/>
    </row>
    <row r="8" spans="1:10" ht="15.5" x14ac:dyDescent="0.35">
      <c r="A8" s="402"/>
      <c r="B8" t="s">
        <v>659</v>
      </c>
      <c r="C8" s="1" t="s">
        <v>745</v>
      </c>
      <c r="D8" s="712">
        <v>300</v>
      </c>
      <c r="E8" s="713">
        <v>8</v>
      </c>
      <c r="F8" s="700">
        <f t="shared" ref="F8:F9" si="0">D8*E8</f>
        <v>2400</v>
      </c>
      <c r="J8" s="570"/>
    </row>
    <row r="9" spans="1:10" ht="15.5" x14ac:dyDescent="0.35">
      <c r="A9" s="681"/>
      <c r="B9" s="8" t="s">
        <v>9</v>
      </c>
      <c r="C9" s="682"/>
      <c r="D9" s="714"/>
      <c r="E9" s="715"/>
      <c r="F9" s="701">
        <f t="shared" si="0"/>
        <v>0</v>
      </c>
      <c r="J9" s="13"/>
    </row>
    <row r="10" spans="1:10" ht="15.5" x14ac:dyDescent="0.35">
      <c r="A10" s="402" t="s">
        <v>352</v>
      </c>
      <c r="C10" s="1"/>
      <c r="D10" s="680"/>
      <c r="E10" s="570"/>
      <c r="F10" s="570">
        <f>SUM(F7:F9)</f>
        <v>7400</v>
      </c>
      <c r="J10" s="13"/>
    </row>
    <row r="11" spans="1:10" ht="15.5" x14ac:dyDescent="0.35">
      <c r="A11" s="402"/>
      <c r="C11" s="1"/>
      <c r="D11" s="680"/>
      <c r="E11" s="570"/>
    </row>
    <row r="12" spans="1:10" ht="15.5" x14ac:dyDescent="0.35">
      <c r="A12" s="402" t="s">
        <v>16</v>
      </c>
      <c r="C12" s="1"/>
      <c r="D12" s="680"/>
      <c r="E12" s="570"/>
    </row>
    <row r="13" spans="1:10" ht="15.5" x14ac:dyDescent="0.35">
      <c r="A13" s="402"/>
      <c r="B13" t="s">
        <v>733</v>
      </c>
      <c r="C13" s="1" t="s">
        <v>746</v>
      </c>
      <c r="D13" s="712">
        <v>350</v>
      </c>
      <c r="E13" s="713">
        <v>4.5</v>
      </c>
      <c r="F13" s="698">
        <f t="shared" ref="F13:F17" si="1">D13*E13</f>
        <v>1575</v>
      </c>
    </row>
    <row r="14" spans="1:10" ht="15.5" x14ac:dyDescent="0.35">
      <c r="A14" s="402"/>
      <c r="B14" t="s">
        <v>353</v>
      </c>
      <c r="C14" s="1" t="s">
        <v>94</v>
      </c>
      <c r="D14" s="712">
        <v>100</v>
      </c>
      <c r="E14" s="713">
        <v>12</v>
      </c>
      <c r="F14" s="698">
        <f t="shared" si="1"/>
        <v>1200</v>
      </c>
    </row>
    <row r="15" spans="1:10" ht="15.5" x14ac:dyDescent="0.35">
      <c r="A15" s="402"/>
      <c r="B15" t="s">
        <v>355</v>
      </c>
      <c r="C15" s="1" t="s">
        <v>737</v>
      </c>
      <c r="D15" s="712">
        <v>1</v>
      </c>
      <c r="E15" s="713">
        <v>1350</v>
      </c>
      <c r="F15" s="698">
        <f t="shared" si="1"/>
        <v>1350</v>
      </c>
    </row>
    <row r="16" spans="1:10" ht="15.5" x14ac:dyDescent="0.35">
      <c r="A16" s="402"/>
      <c r="B16" t="s">
        <v>657</v>
      </c>
      <c r="C16" s="1" t="s">
        <v>736</v>
      </c>
      <c r="D16" s="712">
        <v>1</v>
      </c>
      <c r="E16" s="713">
        <v>1500</v>
      </c>
      <c r="F16" s="698">
        <f t="shared" si="1"/>
        <v>1500</v>
      </c>
    </row>
    <row r="17" spans="1:6" ht="15.5" x14ac:dyDescent="0.35">
      <c r="A17" s="402"/>
      <c r="B17" t="s">
        <v>9</v>
      </c>
      <c r="D17" s="716"/>
      <c r="E17" s="717"/>
      <c r="F17" s="698">
        <f t="shared" si="1"/>
        <v>0</v>
      </c>
    </row>
    <row r="18" spans="1:6" ht="15.5" x14ac:dyDescent="0.35">
      <c r="A18" s="681"/>
      <c r="B18" s="8" t="s">
        <v>734</v>
      </c>
      <c r="C18" s="8"/>
      <c r="D18" s="684">
        <f>SUM(F13:F17)</f>
        <v>5625</v>
      </c>
      <c r="E18" s="718">
        <v>0.1</v>
      </c>
      <c r="F18" s="684">
        <f>D18*E18</f>
        <v>562.5</v>
      </c>
    </row>
    <row r="19" spans="1:6" ht="15.5" x14ac:dyDescent="0.35">
      <c r="A19" s="402" t="s">
        <v>379</v>
      </c>
      <c r="E19" s="570"/>
      <c r="F19" s="570">
        <f>SUM(F13:F18)</f>
        <v>6187.5</v>
      </c>
    </row>
    <row r="20" spans="1:6" ht="15.5" x14ac:dyDescent="0.35">
      <c r="A20" s="402"/>
      <c r="E20" s="570"/>
    </row>
    <row r="21" spans="1:6" ht="15.5" x14ac:dyDescent="0.35">
      <c r="A21" s="402" t="s">
        <v>735</v>
      </c>
      <c r="E21" s="570"/>
      <c r="F21" s="570">
        <f>F10-F19</f>
        <v>1212.5</v>
      </c>
    </row>
    <row r="22" spans="1:6" ht="15" thickBot="1" x14ac:dyDescent="0.4"/>
    <row r="23" spans="1:6" ht="19" thickBot="1" x14ac:dyDescent="0.5">
      <c r="A23" s="691" t="s">
        <v>741</v>
      </c>
      <c r="B23" s="692"/>
      <c r="C23" s="692"/>
      <c r="D23" s="693"/>
    </row>
    <row r="24" spans="1:6" x14ac:dyDescent="0.35">
      <c r="A24" s="707"/>
      <c r="B24" s="708" t="s">
        <v>738</v>
      </c>
      <c r="C24" s="709">
        <f>(F7-F21)/D7</f>
        <v>3.7875000000000001</v>
      </c>
      <c r="D24" s="710" t="s">
        <v>742</v>
      </c>
    </row>
    <row r="25" spans="1:6" x14ac:dyDescent="0.35">
      <c r="A25" s="685"/>
      <c r="B25" s="686"/>
      <c r="C25" s="16"/>
      <c r="D25" s="687"/>
    </row>
    <row r="26" spans="1:6" x14ac:dyDescent="0.35">
      <c r="A26" s="685"/>
      <c r="B26" s="686" t="s">
        <v>739</v>
      </c>
      <c r="C26" s="706">
        <f>(F7-F21)/E7</f>
        <v>757.5</v>
      </c>
      <c r="D26" s="687" t="s">
        <v>743</v>
      </c>
    </row>
    <row r="27" spans="1:6" x14ac:dyDescent="0.35">
      <c r="A27" s="685"/>
      <c r="B27" s="686"/>
      <c r="C27" s="16"/>
      <c r="D27" s="687"/>
    </row>
    <row r="28" spans="1:6" ht="15" thickBot="1" x14ac:dyDescent="0.4">
      <c r="A28" s="688"/>
      <c r="B28" s="689" t="s">
        <v>740</v>
      </c>
      <c r="C28" s="711">
        <f>(F13+F21)/D13</f>
        <v>7.9642857142857144</v>
      </c>
      <c r="D28" s="695" t="s">
        <v>744</v>
      </c>
    </row>
  </sheetData>
  <sheetProtection sheet="1" objects="1" scenarios="1"/>
  <mergeCells count="1">
    <mergeCell ref="A23:D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3503-BBA9-46DC-B434-9BA1B9031EED}">
  <dimension ref="A1:Y25"/>
  <sheetViews>
    <sheetView showGridLines="0" topLeftCell="O1" workbookViewId="0">
      <selection activeCell="V23" sqref="V23"/>
    </sheetView>
  </sheetViews>
  <sheetFormatPr defaultRowHeight="14.5" x14ac:dyDescent="0.35"/>
  <cols>
    <col min="1" max="1" width="13.90625" customWidth="1"/>
    <col min="2" max="2" width="9.453125" bestFit="1" customWidth="1"/>
    <col min="3" max="3" width="12" customWidth="1"/>
    <col min="4" max="4" width="10.453125" bestFit="1" customWidth="1"/>
    <col min="13" max="13" width="22.7265625" bestFit="1" customWidth="1"/>
    <col min="14" max="17" width="15.6328125" customWidth="1"/>
    <col min="18" max="19" width="2.81640625" bestFit="1" customWidth="1"/>
    <col min="20" max="20" width="12.6328125" bestFit="1" customWidth="1"/>
    <col min="21" max="21" width="20" bestFit="1" customWidth="1"/>
    <col min="22" max="22" width="21.6328125" bestFit="1" customWidth="1"/>
    <col min="23" max="23" width="25.36328125" bestFit="1" customWidth="1"/>
    <col min="24" max="24" width="30.26953125" bestFit="1" customWidth="1"/>
    <col min="25" max="25" width="27" bestFit="1" customWidth="1"/>
    <col min="26" max="26" width="10.7265625" bestFit="1" customWidth="1"/>
    <col min="27" max="27" width="7.54296875" bestFit="1" customWidth="1"/>
    <col min="28" max="28" width="6.26953125" bestFit="1" customWidth="1"/>
    <col min="29" max="29" width="7.54296875" bestFit="1" customWidth="1"/>
    <col min="30" max="30" width="6.26953125" bestFit="1" customWidth="1"/>
    <col min="31" max="31" width="7.54296875" bestFit="1" customWidth="1"/>
    <col min="32" max="32" width="6.26953125" bestFit="1" customWidth="1"/>
    <col min="33" max="33" width="7.54296875" bestFit="1" customWidth="1"/>
    <col min="34" max="34" width="5.6328125" bestFit="1" customWidth="1"/>
    <col min="35" max="35" width="8.54296875" bestFit="1" customWidth="1"/>
    <col min="36" max="36" width="5.6328125" bestFit="1" customWidth="1"/>
    <col min="37" max="37" width="8.54296875" bestFit="1" customWidth="1"/>
    <col min="38" max="38" width="10.7265625" bestFit="1" customWidth="1"/>
    <col min="39" max="39" width="21.6328125" bestFit="1" customWidth="1"/>
    <col min="40" max="40" width="22.453125" bestFit="1" customWidth="1"/>
    <col min="41" max="41" width="24" bestFit="1" customWidth="1"/>
    <col min="42" max="42" width="20" bestFit="1" customWidth="1"/>
    <col min="43" max="43" width="21.6328125" bestFit="1" customWidth="1"/>
    <col min="44" max="44" width="22.453125" bestFit="1" customWidth="1"/>
    <col min="45" max="45" width="24" bestFit="1" customWidth="1"/>
    <col min="46" max="46" width="20" bestFit="1" customWidth="1"/>
    <col min="47" max="47" width="21.6328125" bestFit="1" customWidth="1"/>
    <col min="48" max="48" width="22.453125" bestFit="1" customWidth="1"/>
    <col min="49" max="49" width="24" bestFit="1" customWidth="1"/>
    <col min="50" max="50" width="20" bestFit="1" customWidth="1"/>
    <col min="51" max="51" width="21.6328125" bestFit="1" customWidth="1"/>
    <col min="52" max="52" width="22.453125" bestFit="1" customWidth="1"/>
    <col min="53" max="53" width="24" bestFit="1" customWidth="1"/>
    <col min="54" max="54" width="20" bestFit="1" customWidth="1"/>
    <col min="55" max="55" width="21.6328125" bestFit="1" customWidth="1"/>
    <col min="56" max="56" width="23.453125" bestFit="1" customWidth="1"/>
    <col min="57" max="57" width="25.08984375" bestFit="1" customWidth="1"/>
    <col min="58" max="58" width="20" bestFit="1" customWidth="1"/>
    <col min="59" max="59" width="21.6328125" bestFit="1" customWidth="1"/>
    <col min="60" max="60" width="23.453125" bestFit="1" customWidth="1"/>
    <col min="61" max="61" width="25.08984375" bestFit="1" customWidth="1"/>
    <col min="62" max="62" width="24.90625" bestFit="1" customWidth="1"/>
    <col min="63" max="63" width="26.453125" bestFit="1" customWidth="1"/>
  </cols>
  <sheetData>
    <row r="1" spans="1:25" ht="23.5" x14ac:dyDescent="0.55000000000000004">
      <c r="A1" s="721" t="s">
        <v>747</v>
      </c>
    </row>
    <row r="2" spans="1:25" ht="23.5" x14ac:dyDescent="0.55000000000000004">
      <c r="A2" s="721"/>
    </row>
    <row r="3" spans="1:25" ht="29" x14ac:dyDescent="0.35">
      <c r="B3" s="720" t="s">
        <v>752</v>
      </c>
      <c r="C3" s="722">
        <v>44501</v>
      </c>
    </row>
    <row r="4" spans="1:25" ht="15" thickBot="1" x14ac:dyDescent="0.4"/>
    <row r="5" spans="1:25" ht="44" thickBot="1" x14ac:dyDescent="0.4">
      <c r="B5" s="723" t="s">
        <v>748</v>
      </c>
      <c r="C5" s="724" t="s">
        <v>749</v>
      </c>
      <c r="D5" s="724" t="s">
        <v>754</v>
      </c>
      <c r="E5" s="724" t="s">
        <v>750</v>
      </c>
      <c r="F5" s="724" t="s">
        <v>774</v>
      </c>
      <c r="G5" s="724" t="s">
        <v>775</v>
      </c>
      <c r="H5" s="724" t="s">
        <v>751</v>
      </c>
      <c r="I5" s="724" t="s">
        <v>757</v>
      </c>
      <c r="J5" s="725" t="s">
        <v>753</v>
      </c>
      <c r="M5" s="723" t="s">
        <v>766</v>
      </c>
      <c r="N5" s="724" t="s">
        <v>117</v>
      </c>
      <c r="O5" s="724" t="s">
        <v>119</v>
      </c>
      <c r="P5" s="725" t="s">
        <v>120</v>
      </c>
      <c r="T5" s="762" t="s">
        <v>768</v>
      </c>
      <c r="U5" s="763" t="s">
        <v>769</v>
      </c>
      <c r="V5" s="763" t="s">
        <v>771</v>
      </c>
      <c r="W5" s="763" t="s">
        <v>770</v>
      </c>
      <c r="X5" s="763" t="s">
        <v>772</v>
      </c>
      <c r="Y5" s="764" t="s">
        <v>773</v>
      </c>
    </row>
    <row r="6" spans="1:25" x14ac:dyDescent="0.35">
      <c r="B6" s="735">
        <v>1504</v>
      </c>
      <c r="C6" s="738">
        <v>44249</v>
      </c>
      <c r="D6" s="739" t="s">
        <v>755</v>
      </c>
      <c r="E6" s="729">
        <v>100</v>
      </c>
      <c r="F6" s="729">
        <v>505</v>
      </c>
      <c r="G6" s="729">
        <v>1042</v>
      </c>
      <c r="H6" s="729">
        <v>467</v>
      </c>
      <c r="I6" s="729">
        <f>$C$3-C6</f>
        <v>252</v>
      </c>
      <c r="J6" s="740">
        <f>(H6-E6)/I6</f>
        <v>1.4563492063492063</v>
      </c>
      <c r="M6" s="735" t="s">
        <v>765</v>
      </c>
      <c r="N6" s="729">
        <f>COUNTIF(D6:D19,"Bull")</f>
        <v>6</v>
      </c>
      <c r="O6" s="729">
        <f>COUNTIF(D6:D19,"Heifer")</f>
        <v>8</v>
      </c>
      <c r="P6" s="730">
        <f>COUNT(E6:E19)</f>
        <v>14</v>
      </c>
      <c r="T6" s="765">
        <v>501</v>
      </c>
      <c r="U6" s="766">
        <v>4</v>
      </c>
      <c r="V6" s="728">
        <v>85.5</v>
      </c>
      <c r="W6" s="728">
        <v>421.25</v>
      </c>
      <c r="X6" s="728">
        <v>184.5</v>
      </c>
      <c r="Y6" s="726">
        <v>1.8432261902019178</v>
      </c>
    </row>
    <row r="7" spans="1:25" x14ac:dyDescent="0.35">
      <c r="B7" s="736">
        <v>1505</v>
      </c>
      <c r="C7" s="741">
        <v>44264</v>
      </c>
      <c r="D7" s="742" t="s">
        <v>755</v>
      </c>
      <c r="E7" s="743">
        <v>52</v>
      </c>
      <c r="F7" s="743">
        <v>505</v>
      </c>
      <c r="G7" s="743">
        <v>1139</v>
      </c>
      <c r="H7" s="743">
        <v>487</v>
      </c>
      <c r="I7" s="743">
        <f>$C$3-C7</f>
        <v>237</v>
      </c>
      <c r="J7" s="744">
        <f>(H7-E7)/I7</f>
        <v>1.8354430379746836</v>
      </c>
      <c r="M7" s="736" t="s">
        <v>762</v>
      </c>
      <c r="N7" s="731">
        <f>AVERAGEIF($D$6:$D$19,"Bull",E$6:E$19)</f>
        <v>73.833333333333329</v>
      </c>
      <c r="O7" s="731">
        <f>AVERAGEIF($D$6:$D$19,"Heifer",E$6:E$19)</f>
        <v>84.875</v>
      </c>
      <c r="P7" s="732">
        <f>E20</f>
        <v>80.142857142857139</v>
      </c>
      <c r="T7" s="767" t="s">
        <v>755</v>
      </c>
      <c r="U7" s="766">
        <v>2</v>
      </c>
      <c r="V7" s="728">
        <v>87.5</v>
      </c>
      <c r="W7" s="728">
        <v>425</v>
      </c>
      <c r="X7" s="728">
        <v>188.5</v>
      </c>
      <c r="Y7" s="726">
        <v>1.8019294629566014</v>
      </c>
    </row>
    <row r="8" spans="1:25" x14ac:dyDescent="0.35">
      <c r="B8" s="736">
        <v>1506</v>
      </c>
      <c r="C8" s="741">
        <v>44277</v>
      </c>
      <c r="D8" s="742" t="s">
        <v>756</v>
      </c>
      <c r="E8" s="743">
        <v>66</v>
      </c>
      <c r="F8" s="743">
        <v>503</v>
      </c>
      <c r="G8" s="743">
        <v>1111</v>
      </c>
      <c r="H8" s="743">
        <v>490</v>
      </c>
      <c r="I8" s="743">
        <f>$C$3-C8</f>
        <v>224</v>
      </c>
      <c r="J8" s="744">
        <f>(H8-E8)/I8</f>
        <v>1.8928571428571428</v>
      </c>
      <c r="M8" s="736" t="s">
        <v>763</v>
      </c>
      <c r="N8" s="731">
        <f>AVERAGEIF($D$6:$D$19,"Bull",H$6:H$19)</f>
        <v>423.33333333333331</v>
      </c>
      <c r="O8" s="731">
        <f>AVERAGEIF($D$6:$D$19,"Heifer",H$6:H$19)</f>
        <v>421.5</v>
      </c>
      <c r="P8" s="732">
        <f>H20</f>
        <v>422.28571428571428</v>
      </c>
      <c r="T8" s="767" t="s">
        <v>756</v>
      </c>
      <c r="U8" s="766">
        <v>2</v>
      </c>
      <c r="V8" s="728">
        <v>83.5</v>
      </c>
      <c r="W8" s="728">
        <v>417.5</v>
      </c>
      <c r="X8" s="728">
        <v>180.5</v>
      </c>
      <c r="Y8" s="726">
        <v>1.8845229174472338</v>
      </c>
    </row>
    <row r="9" spans="1:25" x14ac:dyDescent="0.35">
      <c r="B9" s="736">
        <v>1507</v>
      </c>
      <c r="C9" s="741">
        <v>44282</v>
      </c>
      <c r="D9" s="742" t="s">
        <v>756</v>
      </c>
      <c r="E9" s="743">
        <v>80</v>
      </c>
      <c r="F9" s="743">
        <v>503</v>
      </c>
      <c r="G9" s="743">
        <v>1023</v>
      </c>
      <c r="H9" s="743">
        <v>402</v>
      </c>
      <c r="I9" s="743">
        <f>$C$3-C9</f>
        <v>219</v>
      </c>
      <c r="J9" s="744">
        <f>(H9-E9)/I9</f>
        <v>1.4703196347031964</v>
      </c>
      <c r="M9" s="736" t="s">
        <v>764</v>
      </c>
      <c r="N9" s="731">
        <f>AVERAGEIF($D$6:$D$19,"Bull",I$6:I$19)</f>
        <v>205.33333333333334</v>
      </c>
      <c r="O9" s="731">
        <f>AVERAGEIF($D$6:$D$19,"Heifer",I$6:I$19)</f>
        <v>187</v>
      </c>
      <c r="P9" s="732">
        <f>I20</f>
        <v>194.85714285714286</v>
      </c>
      <c r="T9" s="765">
        <v>503</v>
      </c>
      <c r="U9" s="766">
        <v>4</v>
      </c>
      <c r="V9" s="728">
        <v>72.75</v>
      </c>
      <c r="W9" s="728">
        <v>411</v>
      </c>
      <c r="X9" s="728">
        <v>199</v>
      </c>
      <c r="Y9" s="726">
        <v>1.7150936404637245</v>
      </c>
    </row>
    <row r="10" spans="1:25" ht="15" thickBot="1" x14ac:dyDescent="0.4">
      <c r="B10" s="736">
        <v>1508</v>
      </c>
      <c r="C10" s="741">
        <v>44288</v>
      </c>
      <c r="D10" s="742" t="s">
        <v>755</v>
      </c>
      <c r="E10" s="743">
        <v>110</v>
      </c>
      <c r="F10" s="743">
        <v>501</v>
      </c>
      <c r="G10" s="743">
        <v>930</v>
      </c>
      <c r="H10" s="743">
        <v>475</v>
      </c>
      <c r="I10" s="743">
        <f>$C$3-C10</f>
        <v>213</v>
      </c>
      <c r="J10" s="744">
        <f>(H10-E10)/I10</f>
        <v>1.7136150234741785</v>
      </c>
      <c r="M10" s="737" t="s">
        <v>753</v>
      </c>
      <c r="N10" s="733">
        <f>AVERAGEIF($D$6:$D$19,"Bull",J$6:J$19)</f>
        <v>1.7194110776753984</v>
      </c>
      <c r="O10" s="733">
        <f>AVERAGEIF($D$6:$D$19,"Heifer",J$6:J$19)</f>
        <v>1.8271844853911092</v>
      </c>
      <c r="P10" s="734">
        <f>J20</f>
        <v>1.7809958820843761</v>
      </c>
      <c r="T10" s="767" t="s">
        <v>755</v>
      </c>
      <c r="U10" s="766">
        <v>1</v>
      </c>
      <c r="V10" s="728">
        <v>58</v>
      </c>
      <c r="W10" s="728">
        <v>357</v>
      </c>
      <c r="X10" s="728">
        <v>198</v>
      </c>
      <c r="Y10" s="726">
        <v>1.5101010101010102</v>
      </c>
    </row>
    <row r="11" spans="1:25" x14ac:dyDescent="0.35">
      <c r="B11" s="736">
        <v>1509</v>
      </c>
      <c r="C11" s="741">
        <v>44291</v>
      </c>
      <c r="D11" s="742" t="s">
        <v>756</v>
      </c>
      <c r="E11" s="743">
        <v>93</v>
      </c>
      <c r="F11" s="743">
        <v>506</v>
      </c>
      <c r="G11" s="743">
        <v>1000</v>
      </c>
      <c r="H11" s="743">
        <v>455</v>
      </c>
      <c r="I11" s="743">
        <f>$C$3-C11</f>
        <v>210</v>
      </c>
      <c r="J11" s="744">
        <f>(H11-E11)/I11</f>
        <v>1.7238095238095239</v>
      </c>
      <c r="T11" s="767" t="s">
        <v>756</v>
      </c>
      <c r="U11" s="766">
        <v>3</v>
      </c>
      <c r="V11" s="728">
        <v>77.666666666666671</v>
      </c>
      <c r="W11" s="728">
        <v>429</v>
      </c>
      <c r="X11" s="728">
        <v>199.33333333333334</v>
      </c>
      <c r="Y11" s="726">
        <v>1.7834245172512959</v>
      </c>
    </row>
    <row r="12" spans="1:25" x14ac:dyDescent="0.35">
      <c r="B12" s="736">
        <v>1510</v>
      </c>
      <c r="C12" s="741">
        <v>44297</v>
      </c>
      <c r="D12" s="742" t="s">
        <v>756</v>
      </c>
      <c r="E12" s="743">
        <v>94</v>
      </c>
      <c r="F12" s="743">
        <v>501</v>
      </c>
      <c r="G12" s="743">
        <v>1061</v>
      </c>
      <c r="H12" s="743">
        <v>425</v>
      </c>
      <c r="I12" s="743">
        <f>$C$3-C12</f>
        <v>204</v>
      </c>
      <c r="J12" s="744">
        <f>(H12-E12)/I12</f>
        <v>1.6225490196078431</v>
      </c>
      <c r="T12" s="765">
        <v>505</v>
      </c>
      <c r="U12" s="766">
        <v>4</v>
      </c>
      <c r="V12" s="728">
        <v>84.5</v>
      </c>
      <c r="W12" s="728">
        <v>437.25</v>
      </c>
      <c r="X12" s="728">
        <v>204</v>
      </c>
      <c r="Y12" s="726">
        <v>1.7665348042487214</v>
      </c>
    </row>
    <row r="13" spans="1:25" ht="15" thickBot="1" x14ac:dyDescent="0.4">
      <c r="B13" s="736">
        <v>1511</v>
      </c>
      <c r="C13" s="741">
        <v>44303</v>
      </c>
      <c r="D13" s="742" t="s">
        <v>755</v>
      </c>
      <c r="E13" s="743">
        <v>58</v>
      </c>
      <c r="F13" s="743">
        <v>503</v>
      </c>
      <c r="G13" s="743">
        <v>925</v>
      </c>
      <c r="H13" s="743">
        <v>357</v>
      </c>
      <c r="I13" s="743">
        <f>$C$3-C13</f>
        <v>198</v>
      </c>
      <c r="J13" s="744">
        <f>(H13-E13)/I13</f>
        <v>1.5101010101010102</v>
      </c>
      <c r="T13" s="767" t="s">
        <v>755</v>
      </c>
      <c r="U13" s="766">
        <v>2</v>
      </c>
      <c r="V13" s="728">
        <v>76</v>
      </c>
      <c r="W13" s="728">
        <v>477</v>
      </c>
      <c r="X13" s="728">
        <v>244.5</v>
      </c>
      <c r="Y13" s="726">
        <v>1.645896122161945</v>
      </c>
    </row>
    <row r="14" spans="1:25" ht="15" thickBot="1" x14ac:dyDescent="0.4">
      <c r="B14" s="736">
        <v>1512</v>
      </c>
      <c r="C14" s="741">
        <v>44322</v>
      </c>
      <c r="D14" s="742" t="s">
        <v>756</v>
      </c>
      <c r="E14" s="743">
        <v>87</v>
      </c>
      <c r="F14" s="743">
        <v>505</v>
      </c>
      <c r="G14" s="743">
        <v>1203</v>
      </c>
      <c r="H14" s="743">
        <v>378</v>
      </c>
      <c r="I14" s="743">
        <f>$C$3-C14</f>
        <v>179</v>
      </c>
      <c r="J14" s="744">
        <f>(H14-E14)/I14</f>
        <v>1.6256983240223464</v>
      </c>
      <c r="M14" s="723" t="s">
        <v>776</v>
      </c>
      <c r="N14" s="724">
        <v>501</v>
      </c>
      <c r="O14" s="724">
        <v>503</v>
      </c>
      <c r="P14" s="724">
        <v>505</v>
      </c>
      <c r="Q14" s="725">
        <v>506</v>
      </c>
      <c r="T14" s="767" t="s">
        <v>756</v>
      </c>
      <c r="U14" s="766">
        <v>2</v>
      </c>
      <c r="V14" s="728">
        <v>93</v>
      </c>
      <c r="W14" s="728">
        <v>397.5</v>
      </c>
      <c r="X14" s="728">
        <v>163.5</v>
      </c>
      <c r="Y14" s="726">
        <v>1.8871734863354974</v>
      </c>
    </row>
    <row r="15" spans="1:25" x14ac:dyDescent="0.35">
      <c r="B15" s="736">
        <v>1513</v>
      </c>
      <c r="C15" s="741">
        <v>44333</v>
      </c>
      <c r="D15" s="742" t="s">
        <v>755</v>
      </c>
      <c r="E15" s="743">
        <v>58</v>
      </c>
      <c r="F15" s="743">
        <v>506</v>
      </c>
      <c r="G15" s="743">
        <v>1131</v>
      </c>
      <c r="H15" s="743">
        <v>379</v>
      </c>
      <c r="I15" s="743">
        <f>$C$3-C15</f>
        <v>168</v>
      </c>
      <c r="J15" s="744">
        <f>(H15-E15)/I15</f>
        <v>1.9107142857142858</v>
      </c>
      <c r="M15" s="735" t="s">
        <v>765</v>
      </c>
      <c r="N15" s="729">
        <f>COUNTIF($F$6:$F$19,N$14)</f>
        <v>4</v>
      </c>
      <c r="O15" s="729">
        <f t="shared" ref="O15:Q15" si="0">COUNTIF($F$6:$F$19,O$14)</f>
        <v>4</v>
      </c>
      <c r="P15" s="729">
        <f t="shared" si="0"/>
        <v>4</v>
      </c>
      <c r="Q15" s="730">
        <f t="shared" si="0"/>
        <v>2</v>
      </c>
      <c r="T15" s="765">
        <v>506</v>
      </c>
      <c r="U15" s="766">
        <v>2</v>
      </c>
      <c r="V15" s="728">
        <v>75.5</v>
      </c>
      <c r="W15" s="728">
        <v>417</v>
      </c>
      <c r="X15" s="728">
        <v>189</v>
      </c>
      <c r="Y15" s="726">
        <v>1.8172619047619047</v>
      </c>
    </row>
    <row r="16" spans="1:25" x14ac:dyDescent="0.35">
      <c r="B16" s="736">
        <v>1514</v>
      </c>
      <c r="C16" s="741">
        <v>44337</v>
      </c>
      <c r="D16" s="742" t="s">
        <v>755</v>
      </c>
      <c r="E16" s="743">
        <v>65</v>
      </c>
      <c r="F16" s="743">
        <v>501</v>
      </c>
      <c r="G16" s="743">
        <v>936</v>
      </c>
      <c r="H16" s="743">
        <v>375</v>
      </c>
      <c r="I16" s="743">
        <f>$C$3-C16</f>
        <v>164</v>
      </c>
      <c r="J16" s="744">
        <f>(H16-E16)/I16</f>
        <v>1.8902439024390243</v>
      </c>
      <c r="M16" s="736" t="s">
        <v>762</v>
      </c>
      <c r="N16" s="731">
        <f>AVERAGEIF($F$6:$F$19,N$14,E$6:E$19)</f>
        <v>85.5</v>
      </c>
      <c r="O16" s="731">
        <f>AVERAGEIF($F$6:$F$19,O$14,E$6:E$19)</f>
        <v>72.75</v>
      </c>
      <c r="P16" s="731">
        <f>AVERAGEIF($F$6:$F$19,P$14,E$6:E$19)</f>
        <v>84.5</v>
      </c>
      <c r="Q16" s="732">
        <f>AVERAGEIF($F$6:$F$19,Q$14,E$6:E$19)</f>
        <v>75.5</v>
      </c>
      <c r="T16" s="767" t="s">
        <v>755</v>
      </c>
      <c r="U16" s="766">
        <v>1</v>
      </c>
      <c r="V16" s="728">
        <v>58</v>
      </c>
      <c r="W16" s="728">
        <v>379</v>
      </c>
      <c r="X16" s="728">
        <v>168</v>
      </c>
      <c r="Y16" s="726">
        <v>1.9107142857142858</v>
      </c>
    </row>
    <row r="17" spans="1:25" x14ac:dyDescent="0.35">
      <c r="B17" s="736">
        <v>1515</v>
      </c>
      <c r="C17" s="741">
        <v>44344</v>
      </c>
      <c r="D17" s="742" t="s">
        <v>756</v>
      </c>
      <c r="E17" s="743">
        <v>73</v>
      </c>
      <c r="F17" s="743">
        <v>501</v>
      </c>
      <c r="G17" s="743">
        <v>1325</v>
      </c>
      <c r="H17" s="743">
        <v>410</v>
      </c>
      <c r="I17" s="743">
        <f>$C$3-C17</f>
        <v>157</v>
      </c>
      <c r="J17" s="744">
        <f>(H17-E17)/I17</f>
        <v>2.1464968152866244</v>
      </c>
      <c r="M17" s="736" t="s">
        <v>763</v>
      </c>
      <c r="N17" s="731">
        <f>AVERAGEIF($F$6:$F$19,N$14,$H6:$H19)</f>
        <v>421.25</v>
      </c>
      <c r="O17" s="731">
        <f>AVERAGEIF($F$6:$F$19,O$14,$H6:$H19)</f>
        <v>411</v>
      </c>
      <c r="P17" s="731">
        <f>AVERAGEIF($F$6:$F$19,P$14,$H6:$H19)</f>
        <v>437.25</v>
      </c>
      <c r="Q17" s="732">
        <f>AVERAGEIF($F$6:$F$19,Q$14,$H6:$H19)</f>
        <v>417</v>
      </c>
      <c r="T17" s="767" t="s">
        <v>756</v>
      </c>
      <c r="U17" s="766">
        <v>1</v>
      </c>
      <c r="V17" s="728">
        <v>93</v>
      </c>
      <c r="W17" s="728">
        <v>455</v>
      </c>
      <c r="X17" s="728">
        <v>210</v>
      </c>
      <c r="Y17" s="726">
        <v>1.7238095238095239</v>
      </c>
    </row>
    <row r="18" spans="1:25" ht="15" thickBot="1" x14ac:dyDescent="0.4">
      <c r="B18" s="736">
        <v>1516</v>
      </c>
      <c r="C18" s="741">
        <v>44346</v>
      </c>
      <c r="D18" s="742" t="s">
        <v>756</v>
      </c>
      <c r="E18" s="743">
        <v>87</v>
      </c>
      <c r="F18" s="743">
        <v>503</v>
      </c>
      <c r="G18" s="743">
        <v>923</v>
      </c>
      <c r="H18" s="743">
        <v>395</v>
      </c>
      <c r="I18" s="743">
        <f>$C$3-C18</f>
        <v>155</v>
      </c>
      <c r="J18" s="744">
        <f>(H18-E18)/I18</f>
        <v>1.9870967741935484</v>
      </c>
      <c r="M18" s="736" t="s">
        <v>764</v>
      </c>
      <c r="N18" s="731">
        <f>AVERAGEIF($F$6:$F$19,N$14,$I$6:$I$19)</f>
        <v>184.5</v>
      </c>
      <c r="O18" s="731">
        <f>AVERAGEIF($F$6:$F$19,O$14,$I$6:$I$19)</f>
        <v>199</v>
      </c>
      <c r="P18" s="731">
        <f>AVERAGEIF($F$6:$F$19,P$14,$I$6:$I$19)</f>
        <v>204</v>
      </c>
      <c r="Q18" s="732">
        <f>AVERAGEIF($F$6:$F$19,Q$14,$I$6:$I$19)</f>
        <v>189</v>
      </c>
      <c r="T18" s="768" t="s">
        <v>767</v>
      </c>
      <c r="U18" s="769">
        <v>14</v>
      </c>
      <c r="V18" s="770">
        <v>80.142857142857139</v>
      </c>
      <c r="W18" s="770">
        <v>422.28571428571428</v>
      </c>
      <c r="X18" s="770">
        <v>194.85714285714286</v>
      </c>
      <c r="Y18" s="727">
        <v>1.7809958820843759</v>
      </c>
    </row>
    <row r="19" spans="1:25" ht="15" thickBot="1" x14ac:dyDescent="0.4">
      <c r="B19" s="746">
        <v>1517</v>
      </c>
      <c r="C19" s="747">
        <v>44353</v>
      </c>
      <c r="D19" s="748" t="s">
        <v>756</v>
      </c>
      <c r="E19" s="749">
        <v>99</v>
      </c>
      <c r="F19" s="749">
        <v>505</v>
      </c>
      <c r="G19" s="749">
        <v>994</v>
      </c>
      <c r="H19" s="749">
        <v>417</v>
      </c>
      <c r="I19" s="749">
        <f>$C$3-C19</f>
        <v>148</v>
      </c>
      <c r="J19" s="750">
        <f>(H19-E19)/I19</f>
        <v>2.1486486486486487</v>
      </c>
      <c r="M19" s="737" t="s">
        <v>753</v>
      </c>
      <c r="N19" s="733">
        <f>AVERAGEIF($F$6:$F$19,N$14,$J$6:$J$19)</f>
        <v>1.8432261902019178</v>
      </c>
      <c r="O19" s="733">
        <f>AVERAGEIF($F$6:$F$19,O$14,$J$6:$J$19)</f>
        <v>1.7150936404637245</v>
      </c>
      <c r="P19" s="733">
        <f>AVERAGEIF($F$6:$F$19,P$14,$J$6:$J$19)</f>
        <v>1.7665348042487214</v>
      </c>
      <c r="Q19" s="734">
        <f>AVERAGEIF($F$6:$F$19,Q$14,$J$6:$J$19)</f>
        <v>1.8172619047619047</v>
      </c>
    </row>
    <row r="20" spans="1:25" x14ac:dyDescent="0.35">
      <c r="A20" s="751" t="s">
        <v>760</v>
      </c>
      <c r="B20" s="756"/>
      <c r="C20" s="729"/>
      <c r="D20" s="756"/>
      <c r="E20" s="752">
        <f>AVERAGE(E6:E19)</f>
        <v>80.142857142857139</v>
      </c>
      <c r="F20" s="761"/>
      <c r="G20" s="761"/>
      <c r="H20" s="752">
        <f>AVERAGE(H6:H19)</f>
        <v>422.28571428571428</v>
      </c>
      <c r="I20" s="752">
        <f>AVERAGE(I6:I19)</f>
        <v>194.85714285714286</v>
      </c>
      <c r="J20" s="740">
        <f>AVERAGE(J6:J19)</f>
        <v>1.7809958820843761</v>
      </c>
    </row>
    <row r="21" spans="1:25" x14ac:dyDescent="0.35">
      <c r="A21" s="753" t="s">
        <v>759</v>
      </c>
      <c r="B21" s="757"/>
      <c r="C21" s="741">
        <f>MIN(C$6:C$19)</f>
        <v>44249</v>
      </c>
      <c r="D21" s="759"/>
      <c r="E21" s="731">
        <f t="shared" ref="E21:J23" si="1">MIN(E$6:E$19)</f>
        <v>52</v>
      </c>
      <c r="F21" s="759"/>
      <c r="G21" s="759"/>
      <c r="H21" s="731">
        <f t="shared" si="1"/>
        <v>357</v>
      </c>
      <c r="I21" s="731">
        <f t="shared" si="1"/>
        <v>148</v>
      </c>
      <c r="J21" s="744">
        <f t="shared" si="1"/>
        <v>1.4563492063492063</v>
      </c>
    </row>
    <row r="22" spans="1:25" ht="15" thickBot="1" x14ac:dyDescent="0.4">
      <c r="A22" s="754" t="s">
        <v>758</v>
      </c>
      <c r="B22" s="758"/>
      <c r="C22" s="745">
        <f>MAX(C$6:C$19)</f>
        <v>44353</v>
      </c>
      <c r="D22" s="760"/>
      <c r="E22" s="755">
        <f t="shared" ref="E22:J24" si="2">MAX(E$6:E$19)</f>
        <v>110</v>
      </c>
      <c r="F22" s="760"/>
      <c r="G22" s="760"/>
      <c r="H22" s="755">
        <f t="shared" si="2"/>
        <v>490</v>
      </c>
      <c r="I22" s="755">
        <f t="shared" si="2"/>
        <v>252</v>
      </c>
      <c r="J22" s="734">
        <f t="shared" si="2"/>
        <v>2.1486486486486487</v>
      </c>
    </row>
    <row r="24" spans="1:25" x14ac:dyDescent="0.35">
      <c r="A24" s="4" t="s">
        <v>761</v>
      </c>
      <c r="C24">
        <f>C22-C21</f>
        <v>104</v>
      </c>
      <c r="D24" t="s">
        <v>664</v>
      </c>
    </row>
    <row r="25" spans="1:25" x14ac:dyDescent="0.35">
      <c r="A25" s="4"/>
    </row>
  </sheetData>
  <sortState ref="C6:C19">
    <sortCondition ref="C6"/>
  </sortState>
  <pageMargins left="0.7" right="0.7" top="0.75" bottom="0.75" header="0.3" footer="0.3"/>
  <pageSetup orientation="portrait" horizontalDpi="4294967293" vertic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8E25-129C-4489-BBED-91152FDEC99D}">
  <sheetPr>
    <pageSetUpPr fitToPage="1"/>
  </sheetPr>
  <dimension ref="A1:AJ69"/>
  <sheetViews>
    <sheetView showGridLines="0" zoomScale="75" zoomScaleNormal="75" workbookViewId="0">
      <selection activeCell="F3" sqref="F3"/>
    </sheetView>
  </sheetViews>
  <sheetFormatPr defaultColWidth="9.1796875" defaultRowHeight="12.5" x14ac:dyDescent="0.25"/>
  <cols>
    <col min="1" max="1" width="2.81640625" style="440" customWidth="1"/>
    <col min="2" max="2" width="51.81640625" style="440" customWidth="1"/>
    <col min="3" max="3" width="14.7265625" style="440" customWidth="1"/>
    <col min="4" max="4" width="18.7265625" style="440" customWidth="1"/>
    <col min="5" max="5" width="2.81640625" style="440" customWidth="1"/>
    <col min="6" max="6" width="18.7265625" style="440" customWidth="1"/>
    <col min="7" max="7" width="2.81640625" style="440" customWidth="1"/>
    <col min="8" max="8" width="18.7265625" style="440" customWidth="1"/>
    <col min="9" max="9" width="2.81640625" style="440" customWidth="1"/>
    <col min="10" max="10" width="18.7265625" style="440" customWidth="1"/>
    <col min="11" max="11" width="2.81640625" style="440" customWidth="1"/>
    <col min="12" max="12" width="18.7265625" style="440" customWidth="1"/>
    <col min="13" max="13" width="2.81640625" style="440" customWidth="1"/>
    <col min="14" max="14" width="18.7265625" style="440" customWidth="1"/>
    <col min="15" max="15" width="2.81640625" style="440" customWidth="1"/>
    <col min="16" max="16" width="18.7265625" style="440" customWidth="1"/>
    <col min="17" max="17" width="2.81640625" style="440" customWidth="1"/>
    <col min="18" max="18" width="18.7265625" style="440" customWidth="1"/>
    <col min="19" max="19" width="2.81640625" style="440" customWidth="1"/>
    <col min="20" max="20" width="18.7265625" style="440" customWidth="1"/>
    <col min="21" max="21" width="2.81640625" style="440" customWidth="1"/>
    <col min="22" max="22" width="18.7265625" style="440" customWidth="1"/>
    <col min="23" max="23" width="2.81640625" style="440" customWidth="1"/>
    <col min="24" max="24" width="18.7265625" style="440" customWidth="1"/>
    <col min="25" max="25" width="2.81640625" style="440" customWidth="1"/>
    <col min="26" max="26" width="18.7265625" style="440" customWidth="1"/>
    <col min="27" max="27" width="2.81640625" style="440" customWidth="1"/>
    <col min="28" max="28" width="18.7265625" style="440" customWidth="1"/>
    <col min="29" max="29" width="9.1796875" style="440"/>
    <col min="30" max="31" width="9.26953125" style="440" bestFit="1" customWidth="1"/>
    <col min="32" max="32" width="11.453125" style="440" bestFit="1" customWidth="1"/>
    <col min="33" max="34" width="9.26953125" style="440" bestFit="1" customWidth="1"/>
    <col min="35" max="16384" width="9.1796875" style="440"/>
  </cols>
  <sheetData>
    <row r="1" spans="1:36" ht="23" x14ac:dyDescent="0.5">
      <c r="A1" s="640" t="s">
        <v>437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  <c r="AB1" s="642"/>
    </row>
    <row r="2" spans="1:36" ht="24.75" customHeight="1" x14ac:dyDescent="0.25">
      <c r="A2" s="441"/>
      <c r="B2" s="442"/>
      <c r="C2" s="442"/>
      <c r="D2" s="443" t="s">
        <v>438</v>
      </c>
      <c r="E2" s="442"/>
      <c r="F2" s="444">
        <v>2020</v>
      </c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5"/>
    </row>
    <row r="3" spans="1:36" ht="20.149999999999999" customHeight="1" x14ac:dyDescent="0.4">
      <c r="A3" s="643" t="s">
        <v>439</v>
      </c>
      <c r="B3" s="644"/>
      <c r="C3" s="446"/>
      <c r="D3" s="447" t="s">
        <v>440</v>
      </c>
      <c r="E3" s="447"/>
      <c r="F3" s="447" t="s">
        <v>441</v>
      </c>
      <c r="G3" s="447"/>
      <c r="H3" s="447" t="s">
        <v>442</v>
      </c>
      <c r="I3" s="447"/>
      <c r="J3" s="447" t="s">
        <v>443</v>
      </c>
      <c r="K3" s="447"/>
      <c r="L3" s="447" t="s">
        <v>268</v>
      </c>
      <c r="M3" s="447"/>
      <c r="N3" s="447" t="s">
        <v>271</v>
      </c>
      <c r="O3" s="447"/>
      <c r="P3" s="447" t="s">
        <v>444</v>
      </c>
      <c r="Q3" s="447"/>
      <c r="R3" s="447" t="s">
        <v>272</v>
      </c>
      <c r="S3" s="447"/>
      <c r="T3" s="447" t="s">
        <v>445</v>
      </c>
      <c r="U3" s="447"/>
      <c r="V3" s="447" t="s">
        <v>276</v>
      </c>
      <c r="W3" s="447"/>
      <c r="X3" s="447" t="s">
        <v>446</v>
      </c>
      <c r="Y3" s="447"/>
      <c r="Z3" s="447" t="s">
        <v>447</v>
      </c>
      <c r="AA3" s="447"/>
      <c r="AB3" s="448" t="s">
        <v>120</v>
      </c>
    </row>
    <row r="4" spans="1:36" ht="9.75" customHeight="1" x14ac:dyDescent="0.3">
      <c r="A4" s="449"/>
      <c r="B4" s="450"/>
      <c r="C4" s="451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3"/>
    </row>
    <row r="5" spans="1:36" ht="20.149999999999999" customHeight="1" x14ac:dyDescent="0.4">
      <c r="A5" s="454"/>
      <c r="B5" s="455" t="s">
        <v>448</v>
      </c>
      <c r="C5" s="456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8"/>
      <c r="AD5" s="459"/>
      <c r="AE5" s="459"/>
      <c r="AF5" s="459"/>
      <c r="AG5" s="459"/>
      <c r="AH5" s="459"/>
      <c r="AI5" s="459"/>
      <c r="AJ5" s="459"/>
    </row>
    <row r="6" spans="1:36" ht="21" customHeight="1" x14ac:dyDescent="0.35">
      <c r="A6" s="449"/>
      <c r="B6" s="460" t="s">
        <v>449</v>
      </c>
      <c r="C6" s="461"/>
      <c r="D6" s="462"/>
      <c r="E6" s="463"/>
      <c r="F6" s="462"/>
      <c r="G6" s="463"/>
      <c r="H6" s="462"/>
      <c r="I6" s="463"/>
      <c r="J6" s="462"/>
      <c r="K6" s="463"/>
      <c r="L6" s="462"/>
      <c r="M6" s="463"/>
      <c r="N6" s="462"/>
      <c r="O6" s="463"/>
      <c r="P6" s="462"/>
      <c r="Q6" s="463"/>
      <c r="R6" s="462"/>
      <c r="S6" s="463"/>
      <c r="T6" s="462"/>
      <c r="U6" s="463"/>
      <c r="V6" s="462"/>
      <c r="W6" s="463"/>
      <c r="X6" s="462"/>
      <c r="Y6" s="463"/>
      <c r="Z6" s="462"/>
      <c r="AA6" s="463"/>
      <c r="AB6" s="464">
        <f t="shared" ref="AB6:AB11" si="0">SUM(D6:Z6)</f>
        <v>0</v>
      </c>
      <c r="AD6" s="459"/>
      <c r="AE6" s="465"/>
      <c r="AF6" s="465"/>
      <c r="AG6" s="465"/>
      <c r="AH6" s="465"/>
      <c r="AI6" s="459"/>
      <c r="AJ6" s="459"/>
    </row>
    <row r="7" spans="1:36" ht="21" customHeight="1" x14ac:dyDescent="0.35">
      <c r="A7" s="449"/>
      <c r="B7" s="460" t="s">
        <v>450</v>
      </c>
      <c r="C7" s="466"/>
      <c r="D7" s="467"/>
      <c r="E7" s="463"/>
      <c r="F7" s="467"/>
      <c r="G7" s="463"/>
      <c r="H7" s="467"/>
      <c r="I7" s="463"/>
      <c r="J7" s="467"/>
      <c r="K7" s="463"/>
      <c r="L7" s="467"/>
      <c r="M7" s="463"/>
      <c r="N7" s="467"/>
      <c r="O7" s="463"/>
      <c r="P7" s="467"/>
      <c r="Q7" s="463"/>
      <c r="R7" s="467"/>
      <c r="S7" s="463"/>
      <c r="T7" s="467"/>
      <c r="U7" s="463"/>
      <c r="V7" s="467"/>
      <c r="W7" s="463"/>
      <c r="X7" s="467"/>
      <c r="Y7" s="463"/>
      <c r="Z7" s="467"/>
      <c r="AA7" s="463"/>
      <c r="AB7" s="468">
        <f t="shared" si="0"/>
        <v>0</v>
      </c>
      <c r="AD7" s="459"/>
      <c r="AE7" s="465"/>
      <c r="AF7" s="465"/>
      <c r="AG7" s="465"/>
      <c r="AH7" s="465"/>
      <c r="AI7" s="459"/>
      <c r="AJ7" s="459"/>
    </row>
    <row r="8" spans="1:36" ht="21" customHeight="1" x14ac:dyDescent="0.35">
      <c r="A8" s="449"/>
      <c r="B8" s="460" t="s">
        <v>451</v>
      </c>
      <c r="C8" s="466"/>
      <c r="D8" s="467"/>
      <c r="E8" s="463"/>
      <c r="F8" s="467"/>
      <c r="G8" s="463"/>
      <c r="H8" s="467"/>
      <c r="I8" s="463"/>
      <c r="J8" s="467"/>
      <c r="K8" s="463"/>
      <c r="L8" s="467"/>
      <c r="M8" s="463"/>
      <c r="N8" s="467"/>
      <c r="O8" s="463"/>
      <c r="P8" s="467"/>
      <c r="Q8" s="463"/>
      <c r="R8" s="467"/>
      <c r="S8" s="463"/>
      <c r="T8" s="467"/>
      <c r="U8" s="463"/>
      <c r="V8" s="467"/>
      <c r="W8" s="463"/>
      <c r="X8" s="467"/>
      <c r="Y8" s="463"/>
      <c r="Z8" s="467"/>
      <c r="AA8" s="463"/>
      <c r="AB8" s="468">
        <f t="shared" si="0"/>
        <v>0</v>
      </c>
      <c r="AD8" s="459"/>
      <c r="AE8" s="465"/>
      <c r="AF8" s="465"/>
      <c r="AG8" s="465"/>
      <c r="AH8" s="465"/>
      <c r="AI8" s="459"/>
      <c r="AJ8" s="459"/>
    </row>
    <row r="9" spans="1:36" ht="21" customHeight="1" x14ac:dyDescent="0.35">
      <c r="A9" s="449"/>
      <c r="B9" s="469" t="s">
        <v>452</v>
      </c>
      <c r="C9" s="466"/>
      <c r="D9" s="467"/>
      <c r="E9" s="463"/>
      <c r="F9" s="467"/>
      <c r="G9" s="463"/>
      <c r="H9" s="467"/>
      <c r="I9" s="463"/>
      <c r="J9" s="467"/>
      <c r="K9" s="463"/>
      <c r="L9" s="467"/>
      <c r="M9" s="463"/>
      <c r="N9" s="467"/>
      <c r="O9" s="463"/>
      <c r="P9" s="467"/>
      <c r="Q9" s="463"/>
      <c r="R9" s="467"/>
      <c r="S9" s="463"/>
      <c r="T9" s="467"/>
      <c r="U9" s="463"/>
      <c r="V9" s="467"/>
      <c r="W9" s="463"/>
      <c r="X9" s="467"/>
      <c r="Y9" s="463"/>
      <c r="Z9" s="467"/>
      <c r="AA9" s="463"/>
      <c r="AB9" s="468">
        <f t="shared" si="0"/>
        <v>0</v>
      </c>
      <c r="AD9" s="459"/>
      <c r="AE9" s="465"/>
      <c r="AF9" s="465"/>
      <c r="AG9" s="465"/>
      <c r="AH9" s="465"/>
      <c r="AI9" s="459"/>
      <c r="AJ9" s="459"/>
    </row>
    <row r="10" spans="1:36" ht="21" customHeight="1" x14ac:dyDescent="0.35">
      <c r="A10" s="449"/>
      <c r="B10" s="469" t="s">
        <v>453</v>
      </c>
      <c r="C10" s="466"/>
      <c r="D10" s="467"/>
      <c r="E10" s="463"/>
      <c r="F10" s="467"/>
      <c r="G10" s="463"/>
      <c r="H10" s="467"/>
      <c r="I10" s="463"/>
      <c r="J10" s="467"/>
      <c r="K10" s="463"/>
      <c r="L10" s="467"/>
      <c r="M10" s="463"/>
      <c r="N10" s="467"/>
      <c r="O10" s="463"/>
      <c r="P10" s="467"/>
      <c r="Q10" s="463"/>
      <c r="R10" s="467"/>
      <c r="S10" s="463"/>
      <c r="T10" s="467"/>
      <c r="U10" s="463"/>
      <c r="V10" s="467"/>
      <c r="W10" s="463"/>
      <c r="X10" s="467"/>
      <c r="Y10" s="463"/>
      <c r="Z10" s="467"/>
      <c r="AA10" s="463"/>
      <c r="AB10" s="468">
        <f t="shared" si="0"/>
        <v>0</v>
      </c>
      <c r="AD10" s="459"/>
      <c r="AE10" s="465"/>
      <c r="AF10" s="465"/>
      <c r="AG10" s="465"/>
      <c r="AH10" s="465"/>
      <c r="AI10" s="459"/>
      <c r="AJ10" s="459"/>
    </row>
    <row r="11" spans="1:36" ht="21" customHeight="1" x14ac:dyDescent="0.35">
      <c r="A11" s="449"/>
      <c r="B11" s="469" t="s">
        <v>391</v>
      </c>
      <c r="C11" s="466"/>
      <c r="D11" s="467"/>
      <c r="E11" s="463"/>
      <c r="F11" s="467"/>
      <c r="G11" s="463"/>
      <c r="H11" s="467"/>
      <c r="I11" s="463"/>
      <c r="J11" s="467"/>
      <c r="K11" s="463"/>
      <c r="L11" s="467"/>
      <c r="M11" s="463"/>
      <c r="N11" s="467"/>
      <c r="O11" s="463"/>
      <c r="P11" s="467"/>
      <c r="Q11" s="463"/>
      <c r="R11" s="467"/>
      <c r="S11" s="463"/>
      <c r="T11" s="467"/>
      <c r="U11" s="463"/>
      <c r="V11" s="467"/>
      <c r="W11" s="463"/>
      <c r="X11" s="467"/>
      <c r="Y11" s="463"/>
      <c r="Z11" s="467"/>
      <c r="AA11" s="463"/>
      <c r="AB11" s="468">
        <f t="shared" si="0"/>
        <v>0</v>
      </c>
      <c r="AD11" s="459"/>
      <c r="AE11" s="465"/>
      <c r="AF11" s="465"/>
      <c r="AG11" s="465"/>
      <c r="AH11" s="465"/>
      <c r="AI11" s="459"/>
      <c r="AJ11" s="459"/>
    </row>
    <row r="12" spans="1:36" ht="6" customHeight="1" thickBot="1" x14ac:dyDescent="0.4">
      <c r="A12" s="470"/>
      <c r="B12" s="471"/>
      <c r="C12" s="472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473"/>
      <c r="Z12" s="473"/>
      <c r="AA12" s="473"/>
      <c r="AB12" s="474"/>
      <c r="AD12" s="459"/>
      <c r="AE12" s="465"/>
      <c r="AF12" s="465"/>
      <c r="AG12" s="465"/>
      <c r="AH12" s="465"/>
      <c r="AI12" s="459"/>
      <c r="AJ12" s="459"/>
    </row>
    <row r="13" spans="1:36" ht="21" customHeight="1" x14ac:dyDescent="0.35">
      <c r="A13" s="449" t="s">
        <v>310</v>
      </c>
      <c r="B13" s="475" t="s">
        <v>454</v>
      </c>
      <c r="C13" s="476"/>
      <c r="D13" s="477">
        <f>SUM(D6:D11)</f>
        <v>0</v>
      </c>
      <c r="E13" s="478"/>
      <c r="F13" s="477">
        <f>SUM(F6:F11)</f>
        <v>0</v>
      </c>
      <c r="G13" s="478"/>
      <c r="H13" s="477">
        <f>SUM(H6:H11)</f>
        <v>0</v>
      </c>
      <c r="I13" s="478"/>
      <c r="J13" s="477">
        <f>SUM(J6:J11)</f>
        <v>0</v>
      </c>
      <c r="K13" s="478"/>
      <c r="L13" s="477">
        <f>SUM(L6:L11)</f>
        <v>0</v>
      </c>
      <c r="M13" s="478"/>
      <c r="N13" s="477">
        <f>SUM(N6:N11)</f>
        <v>0</v>
      </c>
      <c r="O13" s="478"/>
      <c r="P13" s="477">
        <f>SUM(P6:P11)</f>
        <v>0</v>
      </c>
      <c r="Q13" s="478"/>
      <c r="R13" s="477">
        <f>SUM(R6:R11)</f>
        <v>0</v>
      </c>
      <c r="S13" s="478"/>
      <c r="T13" s="477">
        <f>SUM(T6:T11)</f>
        <v>0</v>
      </c>
      <c r="U13" s="478"/>
      <c r="V13" s="477">
        <f>SUM(V6:V11)</f>
        <v>0</v>
      </c>
      <c r="W13" s="478"/>
      <c r="X13" s="477">
        <f>SUM(X6:X11)</f>
        <v>0</v>
      </c>
      <c r="Y13" s="478"/>
      <c r="Z13" s="477">
        <f>SUM(Z6:Z11)</f>
        <v>0</v>
      </c>
      <c r="AA13" s="478"/>
      <c r="AB13" s="464">
        <f>SUM(AB6:AB11)</f>
        <v>0</v>
      </c>
      <c r="AD13" s="459"/>
      <c r="AE13" s="459"/>
      <c r="AF13" s="459"/>
      <c r="AG13" s="459"/>
      <c r="AH13" s="459"/>
      <c r="AI13" s="459"/>
      <c r="AJ13" s="459"/>
    </row>
    <row r="14" spans="1:36" ht="9" customHeight="1" x14ac:dyDescent="0.35">
      <c r="A14" s="449"/>
      <c r="B14" s="479"/>
      <c r="C14" s="480"/>
      <c r="D14" s="481"/>
      <c r="E14" s="481"/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81"/>
      <c r="Q14" s="481"/>
      <c r="R14" s="481"/>
      <c r="S14" s="481"/>
      <c r="T14" s="481"/>
      <c r="U14" s="481"/>
      <c r="V14" s="481"/>
      <c r="W14" s="481"/>
      <c r="X14" s="481"/>
      <c r="Y14" s="481"/>
      <c r="Z14" s="481"/>
      <c r="AA14" s="481"/>
      <c r="AB14" s="482"/>
      <c r="AD14" s="459"/>
      <c r="AE14" s="459"/>
      <c r="AF14" s="459"/>
      <c r="AG14" s="459"/>
      <c r="AH14" s="459"/>
      <c r="AI14" s="459"/>
      <c r="AJ14" s="459"/>
    </row>
    <row r="15" spans="1:36" ht="20.149999999999999" customHeight="1" thickBot="1" x14ac:dyDescent="0.45">
      <c r="A15" s="483"/>
      <c r="B15" s="455" t="s">
        <v>455</v>
      </c>
      <c r="C15" s="456"/>
      <c r="D15" s="484"/>
      <c r="E15" s="484"/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  <c r="AA15" s="484"/>
      <c r="AB15" s="485"/>
      <c r="AC15" s="486" t="s">
        <v>456</v>
      </c>
      <c r="AD15" s="459"/>
      <c r="AE15" s="459"/>
      <c r="AF15" s="459"/>
      <c r="AG15" s="459"/>
      <c r="AH15" s="459"/>
      <c r="AI15" s="459"/>
      <c r="AJ15" s="459"/>
    </row>
    <row r="16" spans="1:36" ht="21" customHeight="1" x14ac:dyDescent="0.35">
      <c r="A16" s="449"/>
      <c r="B16" s="460" t="s">
        <v>457</v>
      </c>
      <c r="C16" s="476"/>
      <c r="D16" s="487"/>
      <c r="E16" s="463"/>
      <c r="F16" s="487"/>
      <c r="G16" s="488"/>
      <c r="H16" s="487"/>
      <c r="I16" s="488"/>
      <c r="J16" s="487"/>
      <c r="K16" s="488"/>
      <c r="L16" s="487"/>
      <c r="M16" s="488"/>
      <c r="N16" s="487"/>
      <c r="O16" s="488"/>
      <c r="P16" s="487"/>
      <c r="Q16" s="488"/>
      <c r="R16" s="487"/>
      <c r="S16" s="488"/>
      <c r="T16" s="487"/>
      <c r="U16" s="488"/>
      <c r="V16" s="487"/>
      <c r="W16" s="488"/>
      <c r="X16" s="487"/>
      <c r="Y16" s="488"/>
      <c r="Z16" s="487"/>
      <c r="AA16" s="488"/>
      <c r="AB16" s="489">
        <f t="shared" ref="AB16:AB43" si="1">SUM(D16:Z16)</f>
        <v>0</v>
      </c>
      <c r="AC16" s="490"/>
      <c r="AD16" s="459" t="s">
        <v>458</v>
      </c>
      <c r="AE16" s="465"/>
      <c r="AF16" s="465"/>
      <c r="AG16" s="465"/>
      <c r="AH16" s="465"/>
      <c r="AI16" s="459"/>
      <c r="AJ16" s="459"/>
    </row>
    <row r="17" spans="1:36" ht="21" customHeight="1" x14ac:dyDescent="0.35">
      <c r="A17" s="449"/>
      <c r="B17" s="469" t="s">
        <v>459</v>
      </c>
      <c r="C17" s="476"/>
      <c r="D17" s="467"/>
      <c r="E17" s="463"/>
      <c r="F17" s="467"/>
      <c r="G17" s="463"/>
      <c r="H17" s="467"/>
      <c r="I17" s="463"/>
      <c r="J17" s="467"/>
      <c r="K17" s="463"/>
      <c r="L17" s="467"/>
      <c r="M17" s="463"/>
      <c r="N17" s="467"/>
      <c r="O17" s="463"/>
      <c r="P17" s="467"/>
      <c r="Q17" s="463"/>
      <c r="R17" s="467"/>
      <c r="S17" s="463"/>
      <c r="T17" s="467"/>
      <c r="U17" s="463"/>
      <c r="V17" s="467"/>
      <c r="W17" s="463"/>
      <c r="X17" s="467"/>
      <c r="Y17" s="463"/>
      <c r="Z17" s="467"/>
      <c r="AA17" s="463"/>
      <c r="AB17" s="468">
        <f t="shared" si="1"/>
        <v>0</v>
      </c>
      <c r="AC17" s="490"/>
      <c r="AD17" s="459"/>
      <c r="AE17" s="465"/>
      <c r="AF17" s="465"/>
      <c r="AG17" s="465"/>
      <c r="AH17" s="465"/>
      <c r="AI17" s="459"/>
      <c r="AJ17" s="459"/>
    </row>
    <row r="18" spans="1:36" ht="21" customHeight="1" x14ac:dyDescent="0.35">
      <c r="A18" s="449"/>
      <c r="B18" s="469" t="s">
        <v>460</v>
      </c>
      <c r="C18" s="476"/>
      <c r="D18" s="467"/>
      <c r="E18" s="463"/>
      <c r="F18" s="467"/>
      <c r="G18" s="463"/>
      <c r="H18" s="467"/>
      <c r="I18" s="463"/>
      <c r="J18" s="467"/>
      <c r="K18" s="463"/>
      <c r="L18" s="467"/>
      <c r="M18" s="463"/>
      <c r="N18" s="467"/>
      <c r="O18" s="463"/>
      <c r="P18" s="467"/>
      <c r="Q18" s="463"/>
      <c r="R18" s="467"/>
      <c r="S18" s="463"/>
      <c r="T18" s="467"/>
      <c r="U18" s="463"/>
      <c r="V18" s="467"/>
      <c r="W18" s="463"/>
      <c r="X18" s="467"/>
      <c r="Y18" s="463"/>
      <c r="Z18" s="467"/>
      <c r="AA18" s="463"/>
      <c r="AB18" s="468">
        <f t="shared" si="1"/>
        <v>0</v>
      </c>
      <c r="AC18" s="490"/>
      <c r="AD18" s="459"/>
      <c r="AE18" s="465"/>
      <c r="AF18" s="465"/>
      <c r="AG18" s="465"/>
      <c r="AH18" s="465"/>
      <c r="AI18" s="459"/>
      <c r="AJ18" s="459"/>
    </row>
    <row r="19" spans="1:36" ht="21" customHeight="1" x14ac:dyDescent="0.35">
      <c r="A19" s="449"/>
      <c r="B19" s="469" t="s">
        <v>461</v>
      </c>
      <c r="C19" s="476"/>
      <c r="D19" s="467"/>
      <c r="E19" s="463"/>
      <c r="F19" s="467"/>
      <c r="G19" s="463"/>
      <c r="H19" s="467"/>
      <c r="I19" s="463"/>
      <c r="J19" s="467"/>
      <c r="K19" s="463"/>
      <c r="L19" s="467"/>
      <c r="M19" s="463"/>
      <c r="N19" s="467"/>
      <c r="O19" s="463"/>
      <c r="P19" s="467"/>
      <c r="Q19" s="463"/>
      <c r="R19" s="467"/>
      <c r="S19" s="463"/>
      <c r="T19" s="467"/>
      <c r="U19" s="463"/>
      <c r="V19" s="467"/>
      <c r="W19" s="463"/>
      <c r="X19" s="467"/>
      <c r="Y19" s="463"/>
      <c r="Z19" s="467"/>
      <c r="AA19" s="463"/>
      <c r="AB19" s="468">
        <f t="shared" si="1"/>
        <v>0</v>
      </c>
      <c r="AC19" s="490"/>
      <c r="AD19" s="459"/>
      <c r="AE19" s="465"/>
      <c r="AF19" s="465"/>
      <c r="AG19" s="465"/>
      <c r="AH19" s="465"/>
      <c r="AI19" s="459"/>
      <c r="AJ19" s="459"/>
    </row>
    <row r="20" spans="1:36" ht="21" customHeight="1" x14ac:dyDescent="0.35">
      <c r="A20" s="449"/>
      <c r="B20" s="469" t="s">
        <v>462</v>
      </c>
      <c r="C20" s="476"/>
      <c r="D20" s="467"/>
      <c r="E20" s="463"/>
      <c r="F20" s="467"/>
      <c r="G20" s="463"/>
      <c r="H20" s="467"/>
      <c r="I20" s="463"/>
      <c r="J20" s="467"/>
      <c r="K20" s="463"/>
      <c r="L20" s="467"/>
      <c r="M20" s="463"/>
      <c r="N20" s="467"/>
      <c r="O20" s="463"/>
      <c r="P20" s="467"/>
      <c r="Q20" s="463"/>
      <c r="R20" s="467"/>
      <c r="S20" s="463"/>
      <c r="T20" s="467"/>
      <c r="U20" s="463"/>
      <c r="V20" s="467"/>
      <c r="W20" s="463"/>
      <c r="X20" s="467"/>
      <c r="Y20" s="463"/>
      <c r="Z20" s="467"/>
      <c r="AA20" s="463"/>
      <c r="AB20" s="468">
        <f t="shared" si="1"/>
        <v>0</v>
      </c>
      <c r="AC20" s="490"/>
      <c r="AD20" s="459"/>
      <c r="AE20" s="465"/>
      <c r="AF20" s="491"/>
      <c r="AG20" s="465"/>
      <c r="AH20" s="465"/>
      <c r="AI20" s="459"/>
      <c r="AJ20" s="459"/>
    </row>
    <row r="21" spans="1:36" ht="21" customHeight="1" x14ac:dyDescent="0.35">
      <c r="A21" s="449"/>
      <c r="B21" s="469" t="s">
        <v>463</v>
      </c>
      <c r="C21" s="476"/>
      <c r="D21" s="467"/>
      <c r="E21" s="463"/>
      <c r="F21" s="467"/>
      <c r="G21" s="463"/>
      <c r="H21" s="467"/>
      <c r="I21" s="463"/>
      <c r="J21" s="467"/>
      <c r="K21" s="463"/>
      <c r="L21" s="467"/>
      <c r="M21" s="463"/>
      <c r="N21" s="467"/>
      <c r="O21" s="463"/>
      <c r="P21" s="467"/>
      <c r="Q21" s="463"/>
      <c r="R21" s="467"/>
      <c r="S21" s="463"/>
      <c r="T21" s="467"/>
      <c r="U21" s="463"/>
      <c r="V21" s="467"/>
      <c r="W21" s="463"/>
      <c r="X21" s="467"/>
      <c r="Y21" s="463"/>
      <c r="Z21" s="467"/>
      <c r="AA21" s="463"/>
      <c r="AB21" s="468">
        <f t="shared" si="1"/>
        <v>0</v>
      </c>
      <c r="AC21" s="490"/>
      <c r="AD21" s="459"/>
      <c r="AE21" s="465"/>
      <c r="AF21" s="491"/>
      <c r="AG21" s="492"/>
      <c r="AH21" s="465"/>
      <c r="AI21" s="459"/>
      <c r="AJ21" s="459"/>
    </row>
    <row r="22" spans="1:36" ht="21" customHeight="1" x14ac:dyDescent="0.35">
      <c r="A22" s="449"/>
      <c r="B22" s="469" t="s">
        <v>464</v>
      </c>
      <c r="C22" s="476"/>
      <c r="D22" s="467"/>
      <c r="E22" s="463"/>
      <c r="F22" s="467"/>
      <c r="G22" s="463"/>
      <c r="H22" s="467"/>
      <c r="I22" s="463"/>
      <c r="J22" s="467"/>
      <c r="K22" s="463"/>
      <c r="L22" s="467"/>
      <c r="M22" s="463"/>
      <c r="N22" s="467"/>
      <c r="O22" s="463"/>
      <c r="P22" s="467"/>
      <c r="Q22" s="463"/>
      <c r="R22" s="467"/>
      <c r="S22" s="463"/>
      <c r="T22" s="467"/>
      <c r="U22" s="463"/>
      <c r="V22" s="467"/>
      <c r="W22" s="463"/>
      <c r="X22" s="467"/>
      <c r="Y22" s="463"/>
      <c r="Z22" s="467"/>
      <c r="AA22" s="463"/>
      <c r="AB22" s="468">
        <f t="shared" si="1"/>
        <v>0</v>
      </c>
      <c r="AC22" s="490"/>
      <c r="AD22" s="459"/>
      <c r="AE22" s="465"/>
      <c r="AF22" s="491"/>
      <c r="AG22" s="492"/>
      <c r="AH22" s="465"/>
      <c r="AI22" s="459"/>
      <c r="AJ22" s="459"/>
    </row>
    <row r="23" spans="1:36" ht="21" customHeight="1" x14ac:dyDescent="0.35">
      <c r="A23" s="449"/>
      <c r="B23" s="469" t="s">
        <v>465</v>
      </c>
      <c r="C23" s="476"/>
      <c r="D23" s="467"/>
      <c r="E23" s="463"/>
      <c r="F23" s="467"/>
      <c r="G23" s="463"/>
      <c r="H23" s="467"/>
      <c r="I23" s="463"/>
      <c r="J23" s="467"/>
      <c r="K23" s="463"/>
      <c r="L23" s="467"/>
      <c r="M23" s="463"/>
      <c r="N23" s="467"/>
      <c r="O23" s="463"/>
      <c r="P23" s="467"/>
      <c r="Q23" s="463"/>
      <c r="R23" s="467"/>
      <c r="S23" s="463"/>
      <c r="T23" s="467"/>
      <c r="U23" s="463"/>
      <c r="V23" s="467"/>
      <c r="W23" s="463"/>
      <c r="X23" s="467"/>
      <c r="Y23" s="463"/>
      <c r="Z23" s="467"/>
      <c r="AA23" s="463"/>
      <c r="AB23" s="468">
        <f t="shared" si="1"/>
        <v>0</v>
      </c>
      <c r="AC23" s="490"/>
      <c r="AD23" s="459"/>
      <c r="AE23" s="465"/>
      <c r="AF23" s="491"/>
      <c r="AG23" s="492"/>
      <c r="AH23" s="465"/>
      <c r="AI23" s="459"/>
      <c r="AJ23" s="459"/>
    </row>
    <row r="24" spans="1:36" ht="21" customHeight="1" x14ac:dyDescent="0.35">
      <c r="A24" s="449"/>
      <c r="B24" s="469" t="s">
        <v>466</v>
      </c>
      <c r="C24" s="476"/>
      <c r="D24" s="467"/>
      <c r="E24" s="463"/>
      <c r="F24" s="467"/>
      <c r="G24" s="463"/>
      <c r="H24" s="467"/>
      <c r="I24" s="463"/>
      <c r="J24" s="467"/>
      <c r="K24" s="463"/>
      <c r="L24" s="467"/>
      <c r="M24" s="463"/>
      <c r="N24" s="467"/>
      <c r="O24" s="463"/>
      <c r="P24" s="467"/>
      <c r="Q24" s="463"/>
      <c r="R24" s="467"/>
      <c r="S24" s="463"/>
      <c r="T24" s="467"/>
      <c r="U24" s="463"/>
      <c r="V24" s="467"/>
      <c r="W24" s="463"/>
      <c r="X24" s="467"/>
      <c r="Y24" s="463"/>
      <c r="Z24" s="467"/>
      <c r="AA24" s="463"/>
      <c r="AB24" s="468">
        <f t="shared" si="1"/>
        <v>0</v>
      </c>
      <c r="AC24" s="490"/>
      <c r="AD24" s="459"/>
      <c r="AE24" s="465"/>
      <c r="AF24" s="491"/>
      <c r="AG24" s="492"/>
      <c r="AH24" s="465"/>
      <c r="AI24" s="459"/>
      <c r="AJ24" s="459"/>
    </row>
    <row r="25" spans="1:36" ht="21" customHeight="1" x14ac:dyDescent="0.35">
      <c r="A25" s="449"/>
      <c r="B25" s="469" t="s">
        <v>24</v>
      </c>
      <c r="C25" s="476"/>
      <c r="D25" s="467"/>
      <c r="E25" s="463"/>
      <c r="F25" s="467"/>
      <c r="G25" s="463"/>
      <c r="H25" s="467"/>
      <c r="I25" s="463"/>
      <c r="J25" s="467"/>
      <c r="K25" s="463"/>
      <c r="L25" s="467"/>
      <c r="M25" s="463"/>
      <c r="N25" s="467"/>
      <c r="O25" s="463"/>
      <c r="P25" s="467"/>
      <c r="Q25" s="463"/>
      <c r="R25" s="467"/>
      <c r="S25" s="463"/>
      <c r="T25" s="467"/>
      <c r="U25" s="463"/>
      <c r="V25" s="467"/>
      <c r="W25" s="463"/>
      <c r="X25" s="467"/>
      <c r="Y25" s="463"/>
      <c r="Z25" s="467"/>
      <c r="AA25" s="463"/>
      <c r="AB25" s="468">
        <f t="shared" si="1"/>
        <v>0</v>
      </c>
      <c r="AC25" s="490"/>
      <c r="AD25" s="459"/>
      <c r="AE25" s="465"/>
      <c r="AF25" s="491"/>
      <c r="AG25" s="492"/>
      <c r="AH25" s="465"/>
      <c r="AI25" s="459"/>
      <c r="AJ25" s="459"/>
    </row>
    <row r="26" spans="1:36" ht="21" customHeight="1" x14ac:dyDescent="0.35">
      <c r="A26" s="449"/>
      <c r="B26" s="469" t="s">
        <v>467</v>
      </c>
      <c r="C26" s="476"/>
      <c r="D26" s="467"/>
      <c r="E26" s="463"/>
      <c r="F26" s="467"/>
      <c r="G26" s="463"/>
      <c r="H26" s="467"/>
      <c r="I26" s="463"/>
      <c r="J26" s="467"/>
      <c r="K26" s="463"/>
      <c r="L26" s="467"/>
      <c r="M26" s="463"/>
      <c r="N26" s="467"/>
      <c r="O26" s="463"/>
      <c r="P26" s="467"/>
      <c r="Q26" s="463"/>
      <c r="R26" s="467"/>
      <c r="S26" s="463"/>
      <c r="T26" s="467"/>
      <c r="U26" s="463"/>
      <c r="V26" s="467"/>
      <c r="W26" s="463"/>
      <c r="X26" s="467"/>
      <c r="Y26" s="463"/>
      <c r="Z26" s="467"/>
      <c r="AA26" s="463"/>
      <c r="AB26" s="468">
        <f t="shared" si="1"/>
        <v>0</v>
      </c>
      <c r="AC26" s="490"/>
      <c r="AD26" s="459"/>
      <c r="AE26" s="465"/>
      <c r="AF26" s="493"/>
      <c r="AG26" s="492"/>
      <c r="AH26" s="465"/>
      <c r="AI26" s="459"/>
      <c r="AJ26" s="459"/>
    </row>
    <row r="27" spans="1:36" ht="21" customHeight="1" x14ac:dyDescent="0.35">
      <c r="A27" s="449"/>
      <c r="B27" s="469" t="s">
        <v>468</v>
      </c>
      <c r="C27" s="476"/>
      <c r="D27" s="467"/>
      <c r="E27" s="463"/>
      <c r="F27" s="467"/>
      <c r="G27" s="463"/>
      <c r="H27" s="467"/>
      <c r="I27" s="463"/>
      <c r="J27" s="467"/>
      <c r="K27" s="463"/>
      <c r="L27" s="467"/>
      <c r="M27" s="463"/>
      <c r="N27" s="467"/>
      <c r="O27" s="463"/>
      <c r="P27" s="467"/>
      <c r="Q27" s="463"/>
      <c r="R27" s="467"/>
      <c r="S27" s="463"/>
      <c r="T27" s="467"/>
      <c r="U27" s="463"/>
      <c r="V27" s="467"/>
      <c r="W27" s="463"/>
      <c r="X27" s="467"/>
      <c r="Y27" s="463"/>
      <c r="Z27" s="467"/>
      <c r="AA27" s="463"/>
      <c r="AB27" s="468">
        <f t="shared" si="1"/>
        <v>0</v>
      </c>
      <c r="AC27" s="490"/>
      <c r="AD27" s="459"/>
      <c r="AE27" s="465"/>
      <c r="AF27" s="465"/>
      <c r="AG27" s="465"/>
      <c r="AH27" s="465"/>
      <c r="AI27" s="459"/>
      <c r="AJ27" s="459"/>
    </row>
    <row r="28" spans="1:36" ht="21" customHeight="1" x14ac:dyDescent="0.35">
      <c r="A28" s="449"/>
      <c r="B28" s="469" t="s">
        <v>469</v>
      </c>
      <c r="C28" s="476"/>
      <c r="D28" s="467"/>
      <c r="E28" s="463"/>
      <c r="F28" s="467"/>
      <c r="G28" s="463"/>
      <c r="H28" s="467"/>
      <c r="I28" s="463"/>
      <c r="J28" s="467"/>
      <c r="K28" s="463"/>
      <c r="L28" s="467"/>
      <c r="M28" s="463"/>
      <c r="N28" s="467"/>
      <c r="O28" s="463"/>
      <c r="P28" s="467"/>
      <c r="Q28" s="463"/>
      <c r="R28" s="467"/>
      <c r="S28" s="463"/>
      <c r="T28" s="467"/>
      <c r="U28" s="463"/>
      <c r="V28" s="467"/>
      <c r="W28" s="463"/>
      <c r="X28" s="467"/>
      <c r="Y28" s="463"/>
      <c r="Z28" s="467"/>
      <c r="AA28" s="463"/>
      <c r="AB28" s="468">
        <f t="shared" si="1"/>
        <v>0</v>
      </c>
      <c r="AC28" s="490"/>
      <c r="AD28" s="459"/>
      <c r="AE28" s="465"/>
      <c r="AF28" s="465"/>
      <c r="AG28" s="465"/>
      <c r="AH28" s="465"/>
      <c r="AI28" s="459"/>
      <c r="AJ28" s="459"/>
    </row>
    <row r="29" spans="1:36" ht="21" customHeight="1" x14ac:dyDescent="0.35">
      <c r="A29" s="449"/>
      <c r="B29" s="469" t="s">
        <v>470</v>
      </c>
      <c r="C29" s="476"/>
      <c r="D29" s="467"/>
      <c r="E29" s="463"/>
      <c r="F29" s="467"/>
      <c r="G29" s="463"/>
      <c r="H29" s="467"/>
      <c r="I29" s="463"/>
      <c r="J29" s="467"/>
      <c r="K29" s="463"/>
      <c r="L29" s="467"/>
      <c r="M29" s="463"/>
      <c r="N29" s="467"/>
      <c r="O29" s="463"/>
      <c r="P29" s="467"/>
      <c r="Q29" s="463"/>
      <c r="R29" s="467"/>
      <c r="S29" s="463"/>
      <c r="T29" s="467"/>
      <c r="U29" s="463"/>
      <c r="V29" s="467"/>
      <c r="W29" s="463"/>
      <c r="X29" s="467"/>
      <c r="Y29" s="463"/>
      <c r="Z29" s="467"/>
      <c r="AA29" s="463"/>
      <c r="AB29" s="468">
        <f t="shared" si="1"/>
        <v>0</v>
      </c>
      <c r="AC29" s="490"/>
      <c r="AD29" s="459"/>
      <c r="AE29" s="465"/>
      <c r="AF29" s="491"/>
      <c r="AG29" s="492"/>
      <c r="AH29" s="465"/>
      <c r="AI29" s="459"/>
      <c r="AJ29" s="459"/>
    </row>
    <row r="30" spans="1:36" ht="21" customHeight="1" x14ac:dyDescent="0.35">
      <c r="A30" s="449"/>
      <c r="B30" s="469" t="s">
        <v>21</v>
      </c>
      <c r="C30" s="476"/>
      <c r="D30" s="467"/>
      <c r="E30" s="463"/>
      <c r="F30" s="467"/>
      <c r="G30" s="463"/>
      <c r="H30" s="467"/>
      <c r="I30" s="463"/>
      <c r="J30" s="467"/>
      <c r="K30" s="463"/>
      <c r="L30" s="467"/>
      <c r="M30" s="463"/>
      <c r="N30" s="467"/>
      <c r="O30" s="463"/>
      <c r="P30" s="467"/>
      <c r="Q30" s="463"/>
      <c r="R30" s="467"/>
      <c r="S30" s="463"/>
      <c r="T30" s="467"/>
      <c r="U30" s="463"/>
      <c r="V30" s="467"/>
      <c r="W30" s="463"/>
      <c r="X30" s="467"/>
      <c r="Y30" s="463"/>
      <c r="Z30" s="467"/>
      <c r="AA30" s="463"/>
      <c r="AB30" s="468">
        <f t="shared" si="1"/>
        <v>0</v>
      </c>
      <c r="AC30" s="490"/>
      <c r="AD30" s="459"/>
      <c r="AE30" s="465"/>
      <c r="AF30" s="465"/>
      <c r="AG30" s="465"/>
      <c r="AH30" s="465"/>
      <c r="AI30" s="459"/>
      <c r="AJ30" s="459"/>
    </row>
    <row r="31" spans="1:36" ht="21" customHeight="1" x14ac:dyDescent="0.35">
      <c r="A31" s="449"/>
      <c r="B31" s="469" t="s">
        <v>471</v>
      </c>
      <c r="C31" s="476"/>
      <c r="D31" s="467"/>
      <c r="E31" s="463"/>
      <c r="F31" s="467"/>
      <c r="G31" s="463"/>
      <c r="H31" s="467"/>
      <c r="I31" s="463"/>
      <c r="J31" s="467"/>
      <c r="K31" s="463"/>
      <c r="L31" s="467"/>
      <c r="M31" s="463"/>
      <c r="N31" s="467"/>
      <c r="O31" s="463"/>
      <c r="P31" s="467"/>
      <c r="Q31" s="463"/>
      <c r="R31" s="467"/>
      <c r="S31" s="463"/>
      <c r="T31" s="467"/>
      <c r="U31" s="463"/>
      <c r="V31" s="467"/>
      <c r="W31" s="463"/>
      <c r="X31" s="467"/>
      <c r="Y31" s="463"/>
      <c r="Z31" s="467"/>
      <c r="AA31" s="463"/>
      <c r="AB31" s="468">
        <f t="shared" si="1"/>
        <v>0</v>
      </c>
      <c r="AC31" s="490"/>
      <c r="AD31" s="459"/>
      <c r="AE31" s="465"/>
      <c r="AF31" s="465"/>
      <c r="AG31" s="494"/>
      <c r="AH31" s="465"/>
      <c r="AI31" s="459"/>
      <c r="AJ31" s="459"/>
    </row>
    <row r="32" spans="1:36" ht="21" customHeight="1" x14ac:dyDescent="0.35">
      <c r="A32" s="449"/>
      <c r="B32" s="469" t="s">
        <v>472</v>
      </c>
      <c r="C32" s="476"/>
      <c r="D32" s="467"/>
      <c r="E32" s="463"/>
      <c r="F32" s="467"/>
      <c r="G32" s="463"/>
      <c r="H32" s="467"/>
      <c r="I32" s="463"/>
      <c r="J32" s="467"/>
      <c r="K32" s="463"/>
      <c r="L32" s="467"/>
      <c r="M32" s="463"/>
      <c r="N32" s="467"/>
      <c r="O32" s="463"/>
      <c r="P32" s="467"/>
      <c r="Q32" s="463"/>
      <c r="R32" s="467"/>
      <c r="S32" s="463"/>
      <c r="T32" s="467"/>
      <c r="U32" s="463"/>
      <c r="V32" s="467"/>
      <c r="W32" s="463"/>
      <c r="X32" s="467"/>
      <c r="Y32" s="463"/>
      <c r="Z32" s="467"/>
      <c r="AA32" s="463"/>
      <c r="AB32" s="468">
        <f t="shared" si="1"/>
        <v>0</v>
      </c>
      <c r="AC32" s="490"/>
      <c r="AD32" s="459"/>
      <c r="AE32" s="465"/>
      <c r="AF32" s="465"/>
      <c r="AG32" s="465"/>
      <c r="AH32" s="465"/>
      <c r="AI32" s="459"/>
      <c r="AJ32" s="459"/>
    </row>
    <row r="33" spans="1:36" ht="21" customHeight="1" x14ac:dyDescent="0.35">
      <c r="A33" s="449"/>
      <c r="B33" s="469" t="s">
        <v>473</v>
      </c>
      <c r="C33" s="476"/>
      <c r="D33" s="467"/>
      <c r="E33" s="463"/>
      <c r="F33" s="467"/>
      <c r="G33" s="463"/>
      <c r="H33" s="467"/>
      <c r="I33" s="463"/>
      <c r="J33" s="467"/>
      <c r="K33" s="463"/>
      <c r="L33" s="467"/>
      <c r="M33" s="463"/>
      <c r="N33" s="467"/>
      <c r="O33" s="463"/>
      <c r="P33" s="467"/>
      <c r="Q33" s="463"/>
      <c r="R33" s="467"/>
      <c r="S33" s="463"/>
      <c r="T33" s="467"/>
      <c r="U33" s="463"/>
      <c r="V33" s="467"/>
      <c r="W33" s="463"/>
      <c r="X33" s="467"/>
      <c r="Y33" s="463"/>
      <c r="Z33" s="467"/>
      <c r="AA33" s="463"/>
      <c r="AB33" s="468">
        <f t="shared" si="1"/>
        <v>0</v>
      </c>
      <c r="AC33" s="490"/>
      <c r="AD33" s="459"/>
      <c r="AE33" s="465"/>
      <c r="AF33" s="465"/>
      <c r="AG33" s="465"/>
      <c r="AH33" s="465"/>
      <c r="AI33" s="459"/>
      <c r="AJ33" s="459"/>
    </row>
    <row r="34" spans="1:36" ht="21" customHeight="1" x14ac:dyDescent="0.35">
      <c r="A34" s="449"/>
      <c r="B34" s="469" t="s">
        <v>474</v>
      </c>
      <c r="C34" s="476"/>
      <c r="D34" s="467"/>
      <c r="E34" s="463"/>
      <c r="F34" s="467"/>
      <c r="G34" s="463"/>
      <c r="H34" s="467"/>
      <c r="I34" s="463"/>
      <c r="J34" s="467"/>
      <c r="K34" s="463"/>
      <c r="L34" s="467"/>
      <c r="M34" s="463"/>
      <c r="N34" s="467"/>
      <c r="O34" s="463"/>
      <c r="P34" s="467"/>
      <c r="Q34" s="463"/>
      <c r="R34" s="467"/>
      <c r="S34" s="463"/>
      <c r="T34" s="467"/>
      <c r="U34" s="463"/>
      <c r="V34" s="467"/>
      <c r="W34" s="463"/>
      <c r="X34" s="467"/>
      <c r="Y34" s="463"/>
      <c r="Z34" s="467"/>
      <c r="AA34" s="463"/>
      <c r="AB34" s="468">
        <f t="shared" si="1"/>
        <v>0</v>
      </c>
      <c r="AC34" s="490"/>
      <c r="AD34" s="459"/>
      <c r="AE34" s="465"/>
      <c r="AF34" s="465"/>
      <c r="AG34" s="465"/>
      <c r="AH34" s="465"/>
      <c r="AI34" s="459"/>
      <c r="AJ34" s="459"/>
    </row>
    <row r="35" spans="1:36" ht="21" customHeight="1" x14ac:dyDescent="0.35">
      <c r="A35" s="449"/>
      <c r="B35" s="469" t="s">
        <v>475</v>
      </c>
      <c r="C35" s="476"/>
      <c r="D35" s="467"/>
      <c r="E35" s="463"/>
      <c r="F35" s="467"/>
      <c r="G35" s="463"/>
      <c r="H35" s="467"/>
      <c r="I35" s="463"/>
      <c r="J35" s="467"/>
      <c r="K35" s="463"/>
      <c r="L35" s="467"/>
      <c r="M35" s="463"/>
      <c r="N35" s="467"/>
      <c r="O35" s="463"/>
      <c r="P35" s="467"/>
      <c r="Q35" s="463"/>
      <c r="R35" s="467"/>
      <c r="S35" s="463"/>
      <c r="T35" s="467"/>
      <c r="U35" s="463"/>
      <c r="V35" s="467"/>
      <c r="W35" s="463"/>
      <c r="X35" s="467"/>
      <c r="Y35" s="463"/>
      <c r="Z35" s="467"/>
      <c r="AA35" s="463"/>
      <c r="AB35" s="468">
        <f t="shared" si="1"/>
        <v>0</v>
      </c>
      <c r="AC35" s="490"/>
      <c r="AD35" s="459"/>
      <c r="AE35" s="465"/>
      <c r="AF35" s="465"/>
      <c r="AG35" s="465"/>
      <c r="AH35" s="465"/>
      <c r="AI35" s="459"/>
      <c r="AJ35" s="459"/>
    </row>
    <row r="36" spans="1:36" ht="21" customHeight="1" x14ac:dyDescent="0.35">
      <c r="A36" s="449"/>
      <c r="B36" s="469" t="s">
        <v>476</v>
      </c>
      <c r="C36" s="476"/>
      <c r="D36" s="467"/>
      <c r="E36" s="463"/>
      <c r="F36" s="467"/>
      <c r="G36" s="463"/>
      <c r="H36" s="467"/>
      <c r="I36" s="463"/>
      <c r="J36" s="467"/>
      <c r="K36" s="463"/>
      <c r="L36" s="467"/>
      <c r="M36" s="463"/>
      <c r="N36" s="467"/>
      <c r="O36" s="463"/>
      <c r="P36" s="467"/>
      <c r="Q36" s="463"/>
      <c r="R36" s="467"/>
      <c r="S36" s="463"/>
      <c r="T36" s="467"/>
      <c r="U36" s="463"/>
      <c r="V36" s="467"/>
      <c r="W36" s="463"/>
      <c r="X36" s="467"/>
      <c r="Y36" s="463"/>
      <c r="Z36" s="467"/>
      <c r="AA36" s="463"/>
      <c r="AB36" s="468">
        <f t="shared" si="1"/>
        <v>0</v>
      </c>
      <c r="AD36" s="459"/>
      <c r="AE36" s="465"/>
      <c r="AF36" s="465"/>
      <c r="AG36" s="465"/>
      <c r="AH36" s="465"/>
      <c r="AI36" s="459"/>
      <c r="AJ36" s="459"/>
    </row>
    <row r="37" spans="1:36" ht="21" customHeight="1" x14ac:dyDescent="0.35">
      <c r="A37" s="449"/>
      <c r="B37" s="469" t="s">
        <v>9</v>
      </c>
      <c r="C37" s="476"/>
      <c r="D37" s="467"/>
      <c r="E37" s="463"/>
      <c r="F37" s="467"/>
      <c r="G37" s="463"/>
      <c r="H37" s="467"/>
      <c r="I37" s="463"/>
      <c r="J37" s="467"/>
      <c r="K37" s="463"/>
      <c r="L37" s="467"/>
      <c r="M37" s="463"/>
      <c r="N37" s="467"/>
      <c r="O37" s="463"/>
      <c r="P37" s="467"/>
      <c r="Q37" s="463"/>
      <c r="R37" s="467"/>
      <c r="S37" s="463"/>
      <c r="T37" s="467"/>
      <c r="U37" s="463"/>
      <c r="V37" s="467"/>
      <c r="W37" s="463"/>
      <c r="X37" s="467"/>
      <c r="Y37" s="463"/>
      <c r="Z37" s="467"/>
      <c r="AA37" s="463"/>
      <c r="AB37" s="468">
        <f t="shared" si="1"/>
        <v>0</v>
      </c>
      <c r="AD37" s="459"/>
      <c r="AE37" s="465"/>
      <c r="AF37" s="465"/>
      <c r="AG37" s="465"/>
      <c r="AH37" s="465"/>
      <c r="AI37" s="459"/>
      <c r="AJ37" s="459"/>
    </row>
    <row r="38" spans="1:36" ht="21" customHeight="1" x14ac:dyDescent="0.35">
      <c r="A38" s="449"/>
      <c r="B38" s="469" t="s">
        <v>477</v>
      </c>
      <c r="C38" s="476"/>
      <c r="D38" s="467"/>
      <c r="E38" s="463"/>
      <c r="F38" s="495"/>
      <c r="G38" s="463"/>
      <c r="H38" s="495"/>
      <c r="I38" s="463"/>
      <c r="J38" s="495"/>
      <c r="K38" s="463"/>
      <c r="L38" s="495"/>
      <c r="M38" s="463"/>
      <c r="N38" s="495"/>
      <c r="O38" s="463"/>
      <c r="P38" s="495"/>
      <c r="Q38" s="463"/>
      <c r="R38" s="495"/>
      <c r="S38" s="463"/>
      <c r="T38" s="495"/>
      <c r="U38" s="463"/>
      <c r="V38" s="495"/>
      <c r="W38" s="463"/>
      <c r="X38" s="495"/>
      <c r="Y38" s="463"/>
      <c r="Z38" s="495"/>
      <c r="AA38" s="463"/>
      <c r="AB38" s="468">
        <f t="shared" si="1"/>
        <v>0</v>
      </c>
      <c r="AD38" s="459"/>
      <c r="AE38" s="465"/>
      <c r="AF38" s="465"/>
      <c r="AG38" s="465"/>
      <c r="AH38" s="465"/>
      <c r="AI38" s="459"/>
      <c r="AJ38" s="459"/>
    </row>
    <row r="39" spans="1:36" ht="21" customHeight="1" x14ac:dyDescent="0.35">
      <c r="A39" s="449"/>
      <c r="B39" s="469" t="s">
        <v>478</v>
      </c>
      <c r="C39" s="476"/>
      <c r="D39" s="467"/>
      <c r="E39" s="463"/>
      <c r="F39" s="467"/>
      <c r="G39" s="463"/>
      <c r="H39" s="467"/>
      <c r="I39" s="463"/>
      <c r="J39" s="467"/>
      <c r="K39" s="463"/>
      <c r="L39" s="467"/>
      <c r="M39" s="463"/>
      <c r="N39" s="467"/>
      <c r="O39" s="463"/>
      <c r="P39" s="467"/>
      <c r="Q39" s="463"/>
      <c r="R39" s="467"/>
      <c r="S39" s="463"/>
      <c r="T39" s="467"/>
      <c r="U39" s="463"/>
      <c r="V39" s="467"/>
      <c r="W39" s="463"/>
      <c r="X39" s="467"/>
      <c r="Y39" s="463"/>
      <c r="Z39" s="467"/>
      <c r="AA39" s="463"/>
      <c r="AB39" s="468">
        <f t="shared" si="1"/>
        <v>0</v>
      </c>
      <c r="AD39" s="459"/>
      <c r="AE39" s="465"/>
      <c r="AF39" s="465"/>
      <c r="AG39" s="465"/>
      <c r="AH39" s="465"/>
      <c r="AI39" s="459"/>
      <c r="AJ39" s="459"/>
    </row>
    <row r="40" spans="1:36" ht="21" customHeight="1" x14ac:dyDescent="0.35">
      <c r="A40" s="449"/>
      <c r="B40" s="469" t="s">
        <v>479</v>
      </c>
      <c r="C40" s="476"/>
      <c r="D40" s="496"/>
      <c r="E40" s="463"/>
      <c r="F40" s="496"/>
      <c r="G40" s="463"/>
      <c r="H40" s="496"/>
      <c r="I40" s="463"/>
      <c r="J40" s="496"/>
      <c r="K40" s="463"/>
      <c r="L40" s="496"/>
      <c r="M40" s="463"/>
      <c r="N40" s="496"/>
      <c r="O40" s="463"/>
      <c r="P40" s="496"/>
      <c r="Q40" s="463"/>
      <c r="R40" s="496"/>
      <c r="S40" s="463"/>
      <c r="T40" s="496"/>
      <c r="U40" s="463"/>
      <c r="V40" s="496"/>
      <c r="W40" s="463"/>
      <c r="X40" s="496"/>
      <c r="Y40" s="463"/>
      <c r="Z40" s="496"/>
      <c r="AA40" s="463"/>
      <c r="AB40" s="468">
        <f t="shared" si="1"/>
        <v>0</v>
      </c>
      <c r="AC40" s="490"/>
      <c r="AD40" s="459"/>
      <c r="AE40" s="459"/>
      <c r="AF40" s="459"/>
      <c r="AG40" s="459"/>
      <c r="AH40" s="459"/>
      <c r="AI40" s="459"/>
      <c r="AJ40" s="459"/>
    </row>
    <row r="41" spans="1:36" ht="21" customHeight="1" x14ac:dyDescent="0.35">
      <c r="A41" s="449"/>
      <c r="B41" s="469" t="s">
        <v>480</v>
      </c>
      <c r="C41" s="476"/>
      <c r="D41" s="496"/>
      <c r="E41" s="463"/>
      <c r="F41" s="496"/>
      <c r="G41" s="463"/>
      <c r="H41" s="496"/>
      <c r="I41" s="463"/>
      <c r="J41" s="496"/>
      <c r="K41" s="463"/>
      <c r="L41" s="496"/>
      <c r="M41" s="463"/>
      <c r="N41" s="496"/>
      <c r="O41" s="463"/>
      <c r="P41" s="496"/>
      <c r="Q41" s="463"/>
      <c r="R41" s="496"/>
      <c r="S41" s="463"/>
      <c r="T41" s="496"/>
      <c r="U41" s="463"/>
      <c r="V41" s="496"/>
      <c r="W41" s="463"/>
      <c r="X41" s="496"/>
      <c r="Y41" s="463"/>
      <c r="Z41" s="496"/>
      <c r="AA41" s="463"/>
      <c r="AB41" s="468">
        <f t="shared" si="1"/>
        <v>0</v>
      </c>
      <c r="AC41" s="490"/>
      <c r="AD41" s="459"/>
      <c r="AE41" s="459"/>
      <c r="AF41" s="459"/>
      <c r="AG41" s="459"/>
      <c r="AH41" s="459"/>
      <c r="AI41" s="459"/>
      <c r="AJ41" s="459"/>
    </row>
    <row r="42" spans="1:36" ht="21" customHeight="1" x14ac:dyDescent="0.35">
      <c r="A42" s="449"/>
      <c r="B42" s="469" t="s">
        <v>481</v>
      </c>
      <c r="C42" s="476"/>
      <c r="D42" s="467"/>
      <c r="E42" s="463"/>
      <c r="F42" s="467"/>
      <c r="G42" s="463"/>
      <c r="H42" s="467"/>
      <c r="I42" s="463"/>
      <c r="J42" s="467"/>
      <c r="K42" s="463"/>
      <c r="L42" s="467"/>
      <c r="M42" s="463"/>
      <c r="N42" s="467"/>
      <c r="O42" s="463"/>
      <c r="P42" s="467"/>
      <c r="Q42" s="463"/>
      <c r="R42" s="467"/>
      <c r="S42" s="463"/>
      <c r="T42" s="467"/>
      <c r="U42" s="463"/>
      <c r="V42" s="467"/>
      <c r="W42" s="463"/>
      <c r="X42" s="467"/>
      <c r="Y42" s="463"/>
      <c r="Z42" s="467"/>
      <c r="AA42" s="463"/>
      <c r="AB42" s="468">
        <f t="shared" si="1"/>
        <v>0</v>
      </c>
      <c r="AC42" s="490"/>
      <c r="AD42" s="459"/>
      <c r="AE42" s="459"/>
      <c r="AF42" s="459"/>
      <c r="AG42" s="459"/>
      <c r="AH42" s="459"/>
      <c r="AI42" s="459"/>
      <c r="AJ42" s="459"/>
    </row>
    <row r="43" spans="1:36" ht="21" customHeight="1" x14ac:dyDescent="0.35">
      <c r="A43" s="449"/>
      <c r="B43" s="469" t="s">
        <v>482</v>
      </c>
      <c r="C43" s="476"/>
      <c r="D43" s="497"/>
      <c r="E43" s="463"/>
      <c r="F43" s="496"/>
      <c r="G43" s="463"/>
      <c r="H43" s="496"/>
      <c r="I43" s="463"/>
      <c r="J43" s="496"/>
      <c r="K43" s="463"/>
      <c r="L43" s="496"/>
      <c r="M43" s="463"/>
      <c r="N43" s="496"/>
      <c r="O43" s="463"/>
      <c r="P43" s="496"/>
      <c r="Q43" s="463"/>
      <c r="R43" s="496"/>
      <c r="S43" s="463"/>
      <c r="T43" s="496"/>
      <c r="U43" s="463"/>
      <c r="V43" s="496"/>
      <c r="W43" s="463"/>
      <c r="X43" s="496"/>
      <c r="Y43" s="463"/>
      <c r="Z43" s="496"/>
      <c r="AA43" s="463"/>
      <c r="AB43" s="468">
        <f t="shared" si="1"/>
        <v>0</v>
      </c>
      <c r="AD43" s="459"/>
      <c r="AE43" s="459"/>
      <c r="AF43" s="459"/>
      <c r="AG43" s="459"/>
      <c r="AH43" s="459"/>
      <c r="AI43" s="459"/>
      <c r="AJ43" s="459"/>
    </row>
    <row r="44" spans="1:36" ht="3.75" customHeight="1" thickBot="1" x14ac:dyDescent="0.4">
      <c r="A44" s="498"/>
      <c r="B44" s="471"/>
      <c r="C44" s="499"/>
      <c r="D44" s="473"/>
      <c r="E44" s="473"/>
      <c r="F44" s="500"/>
      <c r="G44" s="473"/>
      <c r="H44" s="500"/>
      <c r="I44" s="473"/>
      <c r="J44" s="500"/>
      <c r="K44" s="473"/>
      <c r="L44" s="500"/>
      <c r="M44" s="473"/>
      <c r="N44" s="500"/>
      <c r="O44" s="473"/>
      <c r="P44" s="500"/>
      <c r="Q44" s="473"/>
      <c r="R44" s="500"/>
      <c r="S44" s="473"/>
      <c r="T44" s="500"/>
      <c r="U44" s="473"/>
      <c r="V44" s="500"/>
      <c r="W44" s="473"/>
      <c r="X44" s="500"/>
      <c r="Y44" s="473"/>
      <c r="Z44" s="500"/>
      <c r="AA44" s="473"/>
      <c r="AB44" s="474"/>
      <c r="AD44" s="459"/>
      <c r="AE44" s="459"/>
      <c r="AF44" s="459"/>
      <c r="AG44" s="459"/>
      <c r="AH44" s="459"/>
      <c r="AI44" s="459"/>
      <c r="AJ44" s="459"/>
    </row>
    <row r="45" spans="1:36" ht="21.75" customHeight="1" x14ac:dyDescent="0.35">
      <c r="A45" s="449" t="s">
        <v>483</v>
      </c>
      <c r="B45" s="475" t="s">
        <v>484</v>
      </c>
      <c r="C45" s="476"/>
      <c r="D45" s="477">
        <f>SUM(D16:D43)</f>
        <v>0</v>
      </c>
      <c r="E45" s="478"/>
      <c r="F45" s="477">
        <f>SUM(F16:F43)</f>
        <v>0</v>
      </c>
      <c r="G45" s="478"/>
      <c r="H45" s="477">
        <f>SUM(H16:H43)</f>
        <v>0</v>
      </c>
      <c r="I45" s="478"/>
      <c r="J45" s="477">
        <f>SUM(J16:J43)</f>
        <v>0</v>
      </c>
      <c r="K45" s="478"/>
      <c r="L45" s="477">
        <f>SUM(L16:L43)</f>
        <v>0</v>
      </c>
      <c r="M45" s="478"/>
      <c r="N45" s="477">
        <f>SUM(N16:N43)</f>
        <v>0</v>
      </c>
      <c r="O45" s="478"/>
      <c r="P45" s="477">
        <f>SUM(P16:P43)</f>
        <v>0</v>
      </c>
      <c r="Q45" s="478"/>
      <c r="R45" s="477">
        <f>SUM(R16:R43)</f>
        <v>0</v>
      </c>
      <c r="S45" s="478"/>
      <c r="T45" s="477">
        <f>SUM(T16:T43)</f>
        <v>0</v>
      </c>
      <c r="U45" s="478"/>
      <c r="V45" s="477">
        <f>SUM(V16:V43)</f>
        <v>0</v>
      </c>
      <c r="W45" s="478"/>
      <c r="X45" s="477">
        <f>SUM(X16:X43)</f>
        <v>0</v>
      </c>
      <c r="Y45" s="478"/>
      <c r="Z45" s="477">
        <f>SUM(Z16:Z43)</f>
        <v>0</v>
      </c>
      <c r="AA45" s="478"/>
      <c r="AB45" s="464">
        <f>SUM(AB16:AB43)</f>
        <v>0</v>
      </c>
      <c r="AD45" s="459"/>
      <c r="AE45" s="459"/>
      <c r="AF45" s="459"/>
      <c r="AG45" s="459"/>
      <c r="AH45" s="459"/>
      <c r="AI45" s="459"/>
      <c r="AJ45" s="459"/>
    </row>
    <row r="46" spans="1:36" ht="27.75" customHeight="1" x14ac:dyDescent="0.35">
      <c r="A46" s="449" t="s">
        <v>485</v>
      </c>
      <c r="B46" s="475" t="s">
        <v>486</v>
      </c>
      <c r="C46" s="476"/>
      <c r="D46" s="477">
        <f>D13-D45</f>
        <v>0</v>
      </c>
      <c r="E46" s="478"/>
      <c r="F46" s="477">
        <f>F13-F45</f>
        <v>0</v>
      </c>
      <c r="G46" s="478"/>
      <c r="H46" s="477">
        <f>H13-H45</f>
        <v>0</v>
      </c>
      <c r="I46" s="478"/>
      <c r="J46" s="477">
        <f>J13-J45</f>
        <v>0</v>
      </c>
      <c r="K46" s="478"/>
      <c r="L46" s="477">
        <f>L13-L45</f>
        <v>0</v>
      </c>
      <c r="M46" s="478"/>
      <c r="N46" s="477">
        <f>N13-N45</f>
        <v>0</v>
      </c>
      <c r="O46" s="478"/>
      <c r="P46" s="477">
        <f>P13-P45</f>
        <v>0</v>
      </c>
      <c r="Q46" s="478"/>
      <c r="R46" s="477">
        <f>R13-R45</f>
        <v>0</v>
      </c>
      <c r="S46" s="478"/>
      <c r="T46" s="477">
        <f>T13-T45</f>
        <v>0</v>
      </c>
      <c r="U46" s="478"/>
      <c r="V46" s="477">
        <f>V13-V45</f>
        <v>0</v>
      </c>
      <c r="W46" s="478"/>
      <c r="X46" s="477">
        <f>X13-X45</f>
        <v>0</v>
      </c>
      <c r="Y46" s="478"/>
      <c r="Z46" s="477">
        <f>Z13-Z45</f>
        <v>0</v>
      </c>
      <c r="AA46" s="478"/>
      <c r="AB46" s="464">
        <f>AB13-AB45</f>
        <v>0</v>
      </c>
      <c r="AD46" s="459"/>
      <c r="AE46" s="459"/>
      <c r="AF46" s="459"/>
      <c r="AG46" s="459"/>
      <c r="AH46" s="459"/>
      <c r="AI46" s="459"/>
      <c r="AJ46" s="459"/>
    </row>
    <row r="47" spans="1:36" ht="15.5" x14ac:dyDescent="0.35">
      <c r="A47" s="449"/>
      <c r="B47" s="501" t="s">
        <v>487</v>
      </c>
      <c r="C47" s="480"/>
      <c r="D47" s="478"/>
      <c r="E47" s="478"/>
      <c r="F47" s="502"/>
      <c r="G47" s="478"/>
      <c r="H47" s="502"/>
      <c r="I47" s="478"/>
      <c r="J47" s="502"/>
      <c r="K47" s="478"/>
      <c r="L47" s="502"/>
      <c r="M47" s="478"/>
      <c r="N47" s="502"/>
      <c r="O47" s="478"/>
      <c r="P47" s="502"/>
      <c r="Q47" s="478"/>
      <c r="R47" s="502"/>
      <c r="S47" s="478"/>
      <c r="T47" s="502"/>
      <c r="U47" s="478"/>
      <c r="V47" s="502"/>
      <c r="W47" s="478"/>
      <c r="X47" s="502"/>
      <c r="Y47" s="478"/>
      <c r="Z47" s="502"/>
      <c r="AA47" s="478"/>
      <c r="AB47" s="503" t="s">
        <v>488</v>
      </c>
      <c r="AD47" s="459"/>
      <c r="AE47" s="459"/>
      <c r="AF47" s="459"/>
      <c r="AG47" s="459"/>
      <c r="AH47" s="459"/>
      <c r="AI47" s="459"/>
      <c r="AJ47" s="459"/>
    </row>
    <row r="48" spans="1:36" ht="18.75" customHeight="1" x14ac:dyDescent="0.35">
      <c r="A48" s="449" t="s">
        <v>304</v>
      </c>
      <c r="B48" s="475" t="s">
        <v>489</v>
      </c>
      <c r="C48" s="480"/>
      <c r="D48" s="462">
        <v>1000</v>
      </c>
      <c r="E48" s="463"/>
      <c r="F48" s="477">
        <f>D68</f>
        <v>1000</v>
      </c>
      <c r="G48" s="478"/>
      <c r="H48" s="477">
        <f>F68</f>
        <v>1000</v>
      </c>
      <c r="I48" s="478"/>
      <c r="J48" s="477">
        <f>H68</f>
        <v>1000</v>
      </c>
      <c r="K48" s="478"/>
      <c r="L48" s="477">
        <f>J68</f>
        <v>1000</v>
      </c>
      <c r="M48" s="478"/>
      <c r="N48" s="477">
        <f>L68</f>
        <v>1000</v>
      </c>
      <c r="O48" s="478"/>
      <c r="P48" s="477">
        <f>N68</f>
        <v>1000</v>
      </c>
      <c r="Q48" s="478"/>
      <c r="R48" s="477">
        <f>P68</f>
        <v>1000</v>
      </c>
      <c r="S48" s="478"/>
      <c r="T48" s="477">
        <f>R68</f>
        <v>1000</v>
      </c>
      <c r="U48" s="478"/>
      <c r="V48" s="477">
        <f>T68</f>
        <v>1000</v>
      </c>
      <c r="W48" s="478"/>
      <c r="X48" s="477">
        <f>V68</f>
        <v>1000</v>
      </c>
      <c r="Y48" s="478"/>
      <c r="Z48" s="477">
        <f>X68</f>
        <v>1000</v>
      </c>
      <c r="AA48" s="478"/>
      <c r="AB48" s="464">
        <f>D48</f>
        <v>1000</v>
      </c>
      <c r="AD48" s="459"/>
      <c r="AE48" s="459"/>
      <c r="AF48" s="459"/>
      <c r="AG48" s="459"/>
      <c r="AH48" s="459"/>
      <c r="AI48" s="459"/>
      <c r="AJ48" s="459"/>
    </row>
    <row r="49" spans="1:36" ht="15" customHeight="1" x14ac:dyDescent="0.35">
      <c r="A49" s="449"/>
      <c r="B49" s="479"/>
      <c r="C49" s="480"/>
      <c r="D49" s="478"/>
      <c r="E49" s="478"/>
      <c r="F49" s="478"/>
      <c r="G49" s="478"/>
      <c r="H49" s="478"/>
      <c r="I49" s="478"/>
      <c r="J49" s="478"/>
      <c r="K49" s="478"/>
      <c r="L49" s="478"/>
      <c r="M49" s="478"/>
      <c r="N49" s="478"/>
      <c r="O49" s="478"/>
      <c r="P49" s="478"/>
      <c r="Q49" s="478"/>
      <c r="R49" s="478"/>
      <c r="S49" s="478"/>
      <c r="T49" s="478"/>
      <c r="U49" s="478"/>
      <c r="V49" s="478"/>
      <c r="W49" s="478"/>
      <c r="X49" s="478"/>
      <c r="Y49" s="478"/>
      <c r="Z49" s="478"/>
      <c r="AA49" s="478"/>
      <c r="AB49" s="503" t="s">
        <v>490</v>
      </c>
      <c r="AD49" s="459"/>
      <c r="AE49" s="459"/>
      <c r="AF49" s="459"/>
      <c r="AG49" s="459"/>
      <c r="AH49" s="459"/>
      <c r="AI49" s="459"/>
      <c r="AJ49" s="459"/>
    </row>
    <row r="50" spans="1:36" ht="19.5" customHeight="1" x14ac:dyDescent="0.35">
      <c r="A50" s="449" t="s">
        <v>491</v>
      </c>
      <c r="B50" s="475" t="s">
        <v>492</v>
      </c>
      <c r="C50" s="480"/>
      <c r="D50" s="477">
        <f>D46+D48</f>
        <v>1000</v>
      </c>
      <c r="E50" s="478"/>
      <c r="F50" s="477">
        <f>F46+F48</f>
        <v>1000</v>
      </c>
      <c r="G50" s="478"/>
      <c r="H50" s="477">
        <f>H46+H48</f>
        <v>1000</v>
      </c>
      <c r="I50" s="478"/>
      <c r="J50" s="477">
        <f>J46+J48</f>
        <v>1000</v>
      </c>
      <c r="K50" s="478"/>
      <c r="L50" s="477">
        <f>L46+L48</f>
        <v>1000</v>
      </c>
      <c r="M50" s="478"/>
      <c r="N50" s="477">
        <f>N46+N48</f>
        <v>1000</v>
      </c>
      <c r="O50" s="478"/>
      <c r="P50" s="477">
        <f>P46+P48</f>
        <v>1000</v>
      </c>
      <c r="Q50" s="478"/>
      <c r="R50" s="477">
        <f>R46+R48</f>
        <v>1000</v>
      </c>
      <c r="S50" s="478"/>
      <c r="T50" s="477">
        <f>T46+T48</f>
        <v>1000</v>
      </c>
      <c r="U50" s="478"/>
      <c r="V50" s="477">
        <f>V46+V48</f>
        <v>1000</v>
      </c>
      <c r="W50" s="478"/>
      <c r="X50" s="477">
        <f>X46+X48</f>
        <v>1000</v>
      </c>
      <c r="Y50" s="478"/>
      <c r="Z50" s="477">
        <f>Z46+Z48</f>
        <v>1000</v>
      </c>
      <c r="AA50" s="478"/>
      <c r="AB50" s="464">
        <f>AB46+AB48</f>
        <v>1000</v>
      </c>
      <c r="AD50" s="459"/>
      <c r="AE50" s="459"/>
      <c r="AF50" s="459"/>
      <c r="AG50" s="459"/>
      <c r="AH50" s="459"/>
      <c r="AI50" s="459"/>
      <c r="AJ50" s="459"/>
    </row>
    <row r="51" spans="1:36" ht="15.5" x14ac:dyDescent="0.35">
      <c r="A51" s="449"/>
      <c r="B51" s="501" t="s">
        <v>493</v>
      </c>
      <c r="C51" s="480"/>
      <c r="D51" s="478"/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8"/>
      <c r="P51" s="478"/>
      <c r="Q51" s="478"/>
      <c r="R51" s="478"/>
      <c r="S51" s="478"/>
      <c r="T51" s="478"/>
      <c r="U51" s="478"/>
      <c r="V51" s="478"/>
      <c r="W51" s="478"/>
      <c r="X51" s="478"/>
      <c r="Y51" s="478"/>
      <c r="Z51" s="478"/>
      <c r="AA51" s="478"/>
      <c r="AB51" s="503" t="s">
        <v>494</v>
      </c>
      <c r="AD51" s="459"/>
      <c r="AE51" s="459"/>
      <c r="AF51" s="459"/>
      <c r="AG51" s="459"/>
      <c r="AH51" s="459"/>
      <c r="AI51" s="459"/>
      <c r="AJ51" s="459"/>
    </row>
    <row r="52" spans="1:36" ht="15.5" x14ac:dyDescent="0.35">
      <c r="A52" s="449" t="s">
        <v>302</v>
      </c>
      <c r="B52" s="475" t="s">
        <v>495</v>
      </c>
      <c r="C52" s="480"/>
      <c r="D52" s="462">
        <v>1000</v>
      </c>
      <c r="E52" s="463"/>
      <c r="F52" s="477">
        <f>D52</f>
        <v>1000</v>
      </c>
      <c r="G52" s="478"/>
      <c r="H52" s="477">
        <f>F52</f>
        <v>1000</v>
      </c>
      <c r="I52" s="478"/>
      <c r="J52" s="477">
        <f>H52</f>
        <v>1000</v>
      </c>
      <c r="K52" s="478"/>
      <c r="L52" s="477">
        <f>J52</f>
        <v>1000</v>
      </c>
      <c r="M52" s="478"/>
      <c r="N52" s="477">
        <f>L52</f>
        <v>1000</v>
      </c>
      <c r="O52" s="478"/>
      <c r="P52" s="477">
        <f>N52</f>
        <v>1000</v>
      </c>
      <c r="Q52" s="478"/>
      <c r="R52" s="477">
        <f>P52</f>
        <v>1000</v>
      </c>
      <c r="S52" s="478"/>
      <c r="T52" s="477">
        <f>R52</f>
        <v>1000</v>
      </c>
      <c r="U52" s="478"/>
      <c r="V52" s="477">
        <f>T52</f>
        <v>1000</v>
      </c>
      <c r="W52" s="478"/>
      <c r="X52" s="477">
        <f>V52</f>
        <v>1000</v>
      </c>
      <c r="Y52" s="478"/>
      <c r="Z52" s="477">
        <f>X52</f>
        <v>1000</v>
      </c>
      <c r="AA52" s="478"/>
      <c r="AB52" s="504"/>
      <c r="AD52" s="459"/>
      <c r="AE52" s="459"/>
      <c r="AF52" s="459"/>
      <c r="AG52" s="459"/>
      <c r="AH52" s="459"/>
      <c r="AI52" s="459"/>
      <c r="AJ52" s="459"/>
    </row>
    <row r="53" spans="1:36" ht="15" customHeight="1" x14ac:dyDescent="0.35">
      <c r="A53" s="449"/>
      <c r="B53" s="479"/>
      <c r="C53" s="480"/>
      <c r="D53" s="478"/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8"/>
      <c r="P53" s="478"/>
      <c r="Q53" s="478"/>
      <c r="R53" s="478"/>
      <c r="S53" s="478"/>
      <c r="T53" s="478"/>
      <c r="U53" s="478"/>
      <c r="V53" s="478"/>
      <c r="W53" s="478"/>
      <c r="X53" s="478"/>
      <c r="Y53" s="478"/>
      <c r="Z53" s="478"/>
      <c r="AA53" s="478"/>
      <c r="AB53" s="504"/>
      <c r="AD53" s="459"/>
      <c r="AE53" s="459"/>
      <c r="AF53" s="459"/>
      <c r="AG53" s="459"/>
      <c r="AH53" s="459"/>
      <c r="AI53" s="459"/>
      <c r="AJ53" s="459"/>
    </row>
    <row r="54" spans="1:36" ht="15.5" x14ac:dyDescent="0.35">
      <c r="A54" s="449" t="s">
        <v>308</v>
      </c>
      <c r="B54" s="475" t="s">
        <v>496</v>
      </c>
      <c r="C54" s="480"/>
      <c r="D54" s="477">
        <f>IF(D50&gt;D52,D50-D52,0)</f>
        <v>0</v>
      </c>
      <c r="E54" s="478"/>
      <c r="F54" s="477">
        <f>IF(F50&gt;F52,F50-F52,0)</f>
        <v>0</v>
      </c>
      <c r="G54" s="478"/>
      <c r="H54" s="477">
        <f>IF(H50&gt;H52,H50-H52,0)</f>
        <v>0</v>
      </c>
      <c r="I54" s="478"/>
      <c r="J54" s="477">
        <f>IF(J50&gt;J52,J50-J52,0)</f>
        <v>0</v>
      </c>
      <c r="K54" s="478"/>
      <c r="L54" s="477">
        <f>IF(L50&gt;L52,L50-L52,0)</f>
        <v>0</v>
      </c>
      <c r="M54" s="478"/>
      <c r="N54" s="477">
        <f>IF(N50&gt;N52,N50-N52,0)</f>
        <v>0</v>
      </c>
      <c r="O54" s="478"/>
      <c r="P54" s="477">
        <f>IF(P50&gt;P52,P50-P52,0)</f>
        <v>0</v>
      </c>
      <c r="Q54" s="478"/>
      <c r="R54" s="477">
        <f>IF(R50&gt;R52,R50-R52,0)</f>
        <v>0</v>
      </c>
      <c r="S54" s="478"/>
      <c r="T54" s="477">
        <f>IF(T50&gt;T52,T50-T52,0)</f>
        <v>0</v>
      </c>
      <c r="U54" s="478"/>
      <c r="V54" s="477">
        <f>IF(V50&gt;V52,V50-V52,0)</f>
        <v>0</v>
      </c>
      <c r="W54" s="478"/>
      <c r="X54" s="477">
        <f>IF(X50&gt;X52,X50-X52,0)</f>
        <v>0</v>
      </c>
      <c r="Y54" s="478"/>
      <c r="Z54" s="477">
        <f>IF(Z50&gt;Z52,Z50-Z52,0)</f>
        <v>0</v>
      </c>
      <c r="AA54" s="478"/>
      <c r="AB54" s="504"/>
      <c r="AD54" s="459"/>
      <c r="AE54" s="459"/>
      <c r="AF54" s="459"/>
      <c r="AG54" s="459"/>
      <c r="AH54" s="459"/>
      <c r="AI54" s="459"/>
      <c r="AJ54" s="459"/>
    </row>
    <row r="55" spans="1:36" ht="15" customHeight="1" x14ac:dyDescent="0.35">
      <c r="A55" s="449"/>
      <c r="B55" s="501" t="s">
        <v>497</v>
      </c>
      <c r="C55" s="480"/>
      <c r="D55" s="478"/>
      <c r="E55" s="478"/>
      <c r="F55" s="478"/>
      <c r="G55" s="478"/>
      <c r="H55" s="478"/>
      <c r="I55" s="478"/>
      <c r="J55" s="478"/>
      <c r="K55" s="478"/>
      <c r="L55" s="478"/>
      <c r="M55" s="478"/>
      <c r="N55" s="478"/>
      <c r="O55" s="478"/>
      <c r="P55" s="478"/>
      <c r="Q55" s="478"/>
      <c r="R55" s="478"/>
      <c r="S55" s="478"/>
      <c r="T55" s="478"/>
      <c r="U55" s="478"/>
      <c r="V55" s="478"/>
      <c r="W55" s="478"/>
      <c r="X55" s="478"/>
      <c r="Y55" s="478"/>
      <c r="Z55" s="478"/>
      <c r="AA55" s="478"/>
      <c r="AB55" s="504"/>
      <c r="AD55" s="459"/>
      <c r="AE55" s="459"/>
      <c r="AF55" s="459"/>
      <c r="AG55" s="459"/>
      <c r="AH55" s="459"/>
      <c r="AI55" s="459"/>
      <c r="AJ55" s="459"/>
    </row>
    <row r="56" spans="1:36" ht="15.75" customHeight="1" x14ac:dyDescent="0.35">
      <c r="A56" s="449" t="s">
        <v>288</v>
      </c>
      <c r="B56" s="475" t="s">
        <v>498</v>
      </c>
      <c r="C56" s="505">
        <v>0.06</v>
      </c>
      <c r="D56" s="477">
        <f>IF(D52&gt;D50,D52-D50,0)</f>
        <v>0</v>
      </c>
      <c r="E56" s="478"/>
      <c r="F56" s="477">
        <f>IF(F52&gt;F50,F52-F50,0)</f>
        <v>0</v>
      </c>
      <c r="G56" s="478"/>
      <c r="H56" s="477">
        <f>IF(H52&gt;H50,H52-H50,0)</f>
        <v>0</v>
      </c>
      <c r="I56" s="478"/>
      <c r="J56" s="477">
        <f>IF(J52&gt;J50,J52-J50,0)</f>
        <v>0</v>
      </c>
      <c r="K56" s="478"/>
      <c r="L56" s="477">
        <f>IF(L52&gt;L50,L52-L50,0)</f>
        <v>0</v>
      </c>
      <c r="M56" s="478"/>
      <c r="N56" s="477">
        <f>IF(N52&gt;N50,N52-N50,0)</f>
        <v>0</v>
      </c>
      <c r="O56" s="478"/>
      <c r="P56" s="477">
        <f>IF(P52&gt;P50,P52-P50,0)</f>
        <v>0</v>
      </c>
      <c r="Q56" s="478"/>
      <c r="R56" s="477">
        <f>IF(R52&gt;R50,R52-R50,0)</f>
        <v>0</v>
      </c>
      <c r="S56" s="478"/>
      <c r="T56" s="477">
        <f>IF(T52&gt;T50,T52-T50,0)</f>
        <v>0</v>
      </c>
      <c r="U56" s="478"/>
      <c r="V56" s="477">
        <f>IF(V52&gt;V50,V52-V50,0)</f>
        <v>0</v>
      </c>
      <c r="W56" s="478"/>
      <c r="X56" s="477">
        <f>IF(X52&gt;X50,X52-X50,0)</f>
        <v>0</v>
      </c>
      <c r="Y56" s="478"/>
      <c r="Z56" s="477">
        <f>IF(Z52&gt;Z50,Z52-Z50,0)</f>
        <v>0</v>
      </c>
      <c r="AA56" s="478"/>
      <c r="AB56" s="464">
        <f>SUM(D56:Z56)</f>
        <v>0</v>
      </c>
      <c r="AD56" s="459"/>
      <c r="AE56" s="459"/>
      <c r="AF56" s="459"/>
      <c r="AG56" s="459"/>
      <c r="AH56" s="459"/>
      <c r="AI56" s="459"/>
      <c r="AJ56" s="459"/>
    </row>
    <row r="57" spans="1:36" ht="18" customHeight="1" x14ac:dyDescent="0.35">
      <c r="A57" s="449"/>
      <c r="B57" s="501" t="s">
        <v>499</v>
      </c>
      <c r="C57" s="479"/>
      <c r="D57" s="506"/>
      <c r="E57" s="478"/>
      <c r="F57" s="478"/>
      <c r="G57" s="478"/>
      <c r="H57" s="478"/>
      <c r="I57" s="478"/>
      <c r="J57" s="478"/>
      <c r="K57" s="478"/>
      <c r="L57" s="478"/>
      <c r="M57" s="478"/>
      <c r="N57" s="478"/>
      <c r="O57" s="478"/>
      <c r="P57" s="478"/>
      <c r="Q57" s="478"/>
      <c r="R57" s="478"/>
      <c r="S57" s="478"/>
      <c r="T57" s="478"/>
      <c r="U57" s="478"/>
      <c r="V57" s="478"/>
      <c r="W57" s="478"/>
      <c r="X57" s="478"/>
      <c r="Y57" s="478"/>
      <c r="Z57" s="478"/>
      <c r="AA57" s="478"/>
      <c r="AB57" s="507" t="s">
        <v>500</v>
      </c>
      <c r="AD57" s="459"/>
      <c r="AE57" s="459"/>
      <c r="AF57" s="459"/>
      <c r="AG57" s="459"/>
      <c r="AH57" s="459"/>
      <c r="AI57" s="459"/>
      <c r="AJ57" s="459"/>
    </row>
    <row r="58" spans="1:36" ht="15.5" x14ac:dyDescent="0.35">
      <c r="A58" s="449" t="s">
        <v>293</v>
      </c>
      <c r="B58" s="475" t="s">
        <v>501</v>
      </c>
      <c r="C58" s="508">
        <v>0</v>
      </c>
      <c r="D58" s="509">
        <f>C58+D56</f>
        <v>0</v>
      </c>
      <c r="E58" s="478"/>
      <c r="F58" s="477">
        <f>D58-D66+F56</f>
        <v>0</v>
      </c>
      <c r="G58" s="478"/>
      <c r="H58" s="477">
        <f>F58-F66+H56</f>
        <v>0</v>
      </c>
      <c r="I58" s="478"/>
      <c r="J58" s="477">
        <f>H58-H66+J56</f>
        <v>0</v>
      </c>
      <c r="K58" s="478"/>
      <c r="L58" s="477">
        <f>J58-J66+L56</f>
        <v>0</v>
      </c>
      <c r="M58" s="478"/>
      <c r="N58" s="477">
        <f>L58-L66+N56</f>
        <v>0</v>
      </c>
      <c r="O58" s="478"/>
      <c r="P58" s="477">
        <f>N58-N66+P56</f>
        <v>0</v>
      </c>
      <c r="Q58" s="478"/>
      <c r="R58" s="477">
        <f>P58-P66+R56</f>
        <v>0</v>
      </c>
      <c r="S58" s="478"/>
      <c r="T58" s="477">
        <f>R58-R66+T56</f>
        <v>0</v>
      </c>
      <c r="U58" s="478"/>
      <c r="V58" s="477">
        <f>T58-T66+V56</f>
        <v>0</v>
      </c>
      <c r="W58" s="478"/>
      <c r="X58" s="477">
        <f>V58-V66+X56</f>
        <v>0</v>
      </c>
      <c r="Y58" s="478"/>
      <c r="Z58" s="477">
        <f>X58-X66+Z56</f>
        <v>0</v>
      </c>
      <c r="AA58" s="478"/>
      <c r="AB58" s="510">
        <f>Z58-Z66</f>
        <v>0</v>
      </c>
      <c r="AD58" s="459"/>
      <c r="AE58" s="459"/>
      <c r="AF58" s="459"/>
      <c r="AG58" s="459"/>
      <c r="AH58" s="459"/>
      <c r="AI58" s="459"/>
      <c r="AJ58" s="459"/>
    </row>
    <row r="59" spans="1:36" ht="23.25" customHeight="1" x14ac:dyDescent="0.35">
      <c r="A59" s="449"/>
      <c r="B59" s="645" t="s">
        <v>502</v>
      </c>
      <c r="C59" s="646"/>
      <c r="D59" s="511"/>
      <c r="E59" s="478"/>
      <c r="F59" s="478"/>
      <c r="G59" s="478"/>
      <c r="H59" s="478"/>
      <c r="I59" s="478"/>
      <c r="J59" s="478"/>
      <c r="K59" s="478"/>
      <c r="L59" s="478"/>
      <c r="M59" s="478"/>
      <c r="N59" s="478"/>
      <c r="O59" s="478"/>
      <c r="P59" s="478"/>
      <c r="Q59" s="478"/>
      <c r="R59" s="478"/>
      <c r="S59" s="478"/>
      <c r="T59" s="478"/>
      <c r="U59" s="478"/>
      <c r="V59" s="478"/>
      <c r="W59" s="478"/>
      <c r="X59" s="478"/>
      <c r="Y59" s="478"/>
      <c r="Z59" s="478"/>
      <c r="AA59" s="478"/>
      <c r="AB59" s="507" t="s">
        <v>503</v>
      </c>
      <c r="AD59" s="459"/>
      <c r="AE59" s="459"/>
      <c r="AF59" s="459"/>
      <c r="AG59" s="459"/>
      <c r="AH59" s="459"/>
      <c r="AI59" s="459"/>
      <c r="AJ59" s="459"/>
    </row>
    <row r="60" spans="1:36" ht="15.5" x14ac:dyDescent="0.35">
      <c r="A60" s="449" t="s">
        <v>504</v>
      </c>
      <c r="B60" s="475" t="s">
        <v>505</v>
      </c>
      <c r="C60" s="508">
        <v>0</v>
      </c>
      <c r="D60" s="512">
        <f>D58*$C$56/12+C60</f>
        <v>0</v>
      </c>
      <c r="E60" s="513"/>
      <c r="F60" s="514">
        <f>F58*$C$56/12+D60-D62</f>
        <v>0</v>
      </c>
      <c r="G60" s="513"/>
      <c r="H60" s="514">
        <f>H58*$C$56/12+F60-F62</f>
        <v>0</v>
      </c>
      <c r="I60" s="513"/>
      <c r="J60" s="514">
        <f>J58*$C$56/12+H60-H62</f>
        <v>0</v>
      </c>
      <c r="K60" s="513"/>
      <c r="L60" s="514">
        <f>L58*$C$56/12+J60-J62</f>
        <v>0</v>
      </c>
      <c r="M60" s="513"/>
      <c r="N60" s="514">
        <f>N58*$C$56/12+L60-L62</f>
        <v>0</v>
      </c>
      <c r="O60" s="513"/>
      <c r="P60" s="514">
        <f>P58*$C$56/12+N60-N62</f>
        <v>0</v>
      </c>
      <c r="Q60" s="513"/>
      <c r="R60" s="514">
        <f>R58*$C$56/12+P60-P62</f>
        <v>0</v>
      </c>
      <c r="S60" s="513"/>
      <c r="T60" s="514">
        <f>T58*$C$56/12+R60-R62</f>
        <v>0</v>
      </c>
      <c r="U60" s="513"/>
      <c r="V60" s="514">
        <f>V58*$C$56/12+T60-T62</f>
        <v>0</v>
      </c>
      <c r="W60" s="513"/>
      <c r="X60" s="514">
        <f>X58*$C$56/12+V60-V62</f>
        <v>0</v>
      </c>
      <c r="Y60" s="513"/>
      <c r="Z60" s="514">
        <f>Z58*$C$56/12+X60-X62</f>
        <v>0</v>
      </c>
      <c r="AA60" s="513"/>
      <c r="AB60" s="510">
        <f>Z60-Z62</f>
        <v>0</v>
      </c>
      <c r="AD60" s="459"/>
      <c r="AE60" s="459"/>
      <c r="AF60" s="459"/>
      <c r="AG60" s="459"/>
      <c r="AH60" s="459"/>
      <c r="AI60" s="459"/>
      <c r="AJ60" s="459"/>
    </row>
    <row r="61" spans="1:36" ht="22.5" customHeight="1" x14ac:dyDescent="0.35">
      <c r="A61" s="449"/>
      <c r="B61" s="515" t="s">
        <v>506</v>
      </c>
      <c r="C61" s="479"/>
      <c r="D61" s="511"/>
      <c r="E61" s="478"/>
      <c r="F61" s="478"/>
      <c r="G61" s="478"/>
      <c r="H61" s="478"/>
      <c r="I61" s="478"/>
      <c r="J61" s="478"/>
      <c r="K61" s="478"/>
      <c r="L61" s="478"/>
      <c r="M61" s="478"/>
      <c r="N61" s="478"/>
      <c r="O61" s="478"/>
      <c r="P61" s="478"/>
      <c r="Q61" s="478"/>
      <c r="R61" s="478"/>
      <c r="S61" s="478"/>
      <c r="T61" s="478"/>
      <c r="U61" s="478"/>
      <c r="V61" s="478"/>
      <c r="W61" s="478"/>
      <c r="X61" s="478"/>
      <c r="Y61" s="478"/>
      <c r="Z61" s="478"/>
      <c r="AA61" s="478"/>
      <c r="AB61" s="507" t="s">
        <v>507</v>
      </c>
      <c r="AD61" s="459"/>
      <c r="AE61" s="459"/>
      <c r="AF61" s="459"/>
      <c r="AG61" s="459"/>
      <c r="AH61" s="459"/>
      <c r="AI61" s="459"/>
      <c r="AJ61" s="459"/>
    </row>
    <row r="62" spans="1:36" ht="15.5" x14ac:dyDescent="0.35">
      <c r="A62" s="449" t="s">
        <v>508</v>
      </c>
      <c r="B62" s="475" t="s">
        <v>509</v>
      </c>
      <c r="C62" s="516"/>
      <c r="D62" s="477">
        <f>IF(D54&gt;D60,D60,D54)</f>
        <v>0</v>
      </c>
      <c r="E62" s="478"/>
      <c r="F62" s="477">
        <f>IF(F54&gt;F60,F60,F54)</f>
        <v>0</v>
      </c>
      <c r="G62" s="478"/>
      <c r="H62" s="477">
        <f>IF(H54&gt;H60,H60,H54)</f>
        <v>0</v>
      </c>
      <c r="I62" s="478"/>
      <c r="J62" s="477">
        <f>IF(J54&gt;J60,J60,J54)</f>
        <v>0</v>
      </c>
      <c r="K62" s="478"/>
      <c r="L62" s="477">
        <f>IF(L54&gt;L60,L60,L54)</f>
        <v>0</v>
      </c>
      <c r="M62" s="478"/>
      <c r="N62" s="477">
        <f>IF(N54&gt;N60,N60,N54)</f>
        <v>0</v>
      </c>
      <c r="O62" s="478"/>
      <c r="P62" s="477">
        <f>IF(P54&gt;P60,P60,P54)</f>
        <v>0</v>
      </c>
      <c r="Q62" s="478"/>
      <c r="R62" s="477">
        <f>IF(R54&gt;R60,R60,R54)</f>
        <v>0</v>
      </c>
      <c r="S62" s="478"/>
      <c r="T62" s="477">
        <f>IF(T54&gt;T60,T60,T54)</f>
        <v>0</v>
      </c>
      <c r="U62" s="478"/>
      <c r="V62" s="477">
        <f>IF(V54&gt;V60,V60,V54)</f>
        <v>0</v>
      </c>
      <c r="W62" s="478"/>
      <c r="X62" s="477">
        <f>IF(X54&gt;X60,X60,X54)</f>
        <v>0</v>
      </c>
      <c r="Y62" s="478"/>
      <c r="Z62" s="477">
        <f>IF(Z54&gt;Z60,Z60,Z54)</f>
        <v>0</v>
      </c>
      <c r="AA62" s="478"/>
      <c r="AB62" s="464">
        <f>SUM(D62:Z62)</f>
        <v>0</v>
      </c>
      <c r="AD62" s="459"/>
      <c r="AE62" s="459"/>
      <c r="AF62" s="459"/>
      <c r="AG62" s="459"/>
      <c r="AH62" s="459"/>
      <c r="AI62" s="459"/>
      <c r="AJ62" s="459"/>
    </row>
    <row r="63" spans="1:36" ht="15" customHeight="1" x14ac:dyDescent="0.35">
      <c r="A63" s="449"/>
      <c r="B63" s="501" t="s">
        <v>510</v>
      </c>
      <c r="C63" s="517"/>
      <c r="D63" s="478"/>
      <c r="E63" s="478"/>
      <c r="F63" s="478"/>
      <c r="G63" s="478"/>
      <c r="H63" s="478"/>
      <c r="I63" s="478"/>
      <c r="J63" s="478"/>
      <c r="K63" s="478"/>
      <c r="L63" s="478"/>
      <c r="M63" s="478"/>
      <c r="N63" s="478"/>
      <c r="O63" s="478"/>
      <c r="P63" s="478"/>
      <c r="Q63" s="478"/>
      <c r="R63" s="478"/>
      <c r="S63" s="478"/>
      <c r="T63" s="478"/>
      <c r="U63" s="478"/>
      <c r="V63" s="478"/>
      <c r="W63" s="478"/>
      <c r="X63" s="478"/>
      <c r="Y63" s="478"/>
      <c r="Z63" s="478"/>
      <c r="AA63" s="478"/>
      <c r="AB63" s="507" t="s">
        <v>511</v>
      </c>
      <c r="AD63" s="459"/>
      <c r="AE63" s="459"/>
      <c r="AF63" s="459"/>
      <c r="AG63" s="459"/>
      <c r="AH63" s="459"/>
      <c r="AI63" s="459"/>
      <c r="AJ63" s="459"/>
    </row>
    <row r="64" spans="1:36" ht="15.5" x14ac:dyDescent="0.35">
      <c r="A64" s="449" t="s">
        <v>512</v>
      </c>
      <c r="B64" s="475" t="s">
        <v>513</v>
      </c>
      <c r="C64" s="480"/>
      <c r="D64" s="477">
        <f>D54-D62</f>
        <v>0</v>
      </c>
      <c r="E64" s="463"/>
      <c r="F64" s="477">
        <f>F54-F62</f>
        <v>0</v>
      </c>
      <c r="G64" s="463"/>
      <c r="H64" s="477">
        <f>H54-H62</f>
        <v>0</v>
      </c>
      <c r="I64" s="463"/>
      <c r="J64" s="477">
        <f>J54-J62</f>
        <v>0</v>
      </c>
      <c r="K64" s="463"/>
      <c r="L64" s="477">
        <f>L54-L62</f>
        <v>0</v>
      </c>
      <c r="M64" s="463"/>
      <c r="N64" s="477">
        <f>N54-N62</f>
        <v>0</v>
      </c>
      <c r="O64" s="463"/>
      <c r="P64" s="477">
        <f>P54-P62</f>
        <v>0</v>
      </c>
      <c r="Q64" s="463"/>
      <c r="R64" s="477">
        <f>R54-R62</f>
        <v>0</v>
      </c>
      <c r="S64" s="463"/>
      <c r="T64" s="477">
        <f>T54-T62</f>
        <v>0</v>
      </c>
      <c r="U64" s="463"/>
      <c r="V64" s="477">
        <f>V54-V62</f>
        <v>0</v>
      </c>
      <c r="W64" s="463"/>
      <c r="X64" s="477">
        <f>X54-X62</f>
        <v>0</v>
      </c>
      <c r="Y64" s="463"/>
      <c r="Z64" s="477">
        <f>Z54-Z62</f>
        <v>0</v>
      </c>
      <c r="AA64" s="513"/>
      <c r="AB64" s="518"/>
      <c r="AD64" s="459"/>
      <c r="AE64" s="459"/>
      <c r="AF64" s="459"/>
      <c r="AG64" s="459"/>
      <c r="AH64" s="459"/>
      <c r="AI64" s="459"/>
      <c r="AJ64" s="459"/>
    </row>
    <row r="65" spans="1:28" ht="15" customHeight="1" x14ac:dyDescent="0.35">
      <c r="A65" s="449"/>
      <c r="B65" s="501" t="s">
        <v>514</v>
      </c>
      <c r="C65" s="480"/>
      <c r="D65" s="478"/>
      <c r="E65" s="478"/>
      <c r="F65" s="478"/>
      <c r="G65" s="478"/>
      <c r="H65" s="478"/>
      <c r="I65" s="478"/>
      <c r="J65" s="478"/>
      <c r="K65" s="478"/>
      <c r="L65" s="478"/>
      <c r="M65" s="478"/>
      <c r="N65" s="478"/>
      <c r="O65" s="478"/>
      <c r="P65" s="478"/>
      <c r="Q65" s="478"/>
      <c r="R65" s="478"/>
      <c r="S65" s="478"/>
      <c r="T65" s="478"/>
      <c r="U65" s="478"/>
      <c r="V65" s="478"/>
      <c r="W65" s="478"/>
      <c r="X65" s="478"/>
      <c r="Y65" s="478"/>
      <c r="Z65" s="478"/>
      <c r="AA65" s="478"/>
      <c r="AB65" s="504"/>
    </row>
    <row r="66" spans="1:28" ht="15.5" x14ac:dyDescent="0.35">
      <c r="A66" s="449" t="s">
        <v>515</v>
      </c>
      <c r="B66" s="475" t="s">
        <v>516</v>
      </c>
      <c r="C66" s="480"/>
      <c r="D66" s="477">
        <f>IF(D64&gt;D58,D58,D64)</f>
        <v>0</v>
      </c>
      <c r="E66" s="478"/>
      <c r="F66" s="477">
        <f>IF(F64&gt;F58,F58,F64)</f>
        <v>0</v>
      </c>
      <c r="G66" s="478"/>
      <c r="H66" s="477">
        <f>IF(H64&gt;H58,H58,H64)</f>
        <v>0</v>
      </c>
      <c r="I66" s="478"/>
      <c r="J66" s="477">
        <f>IF(J64&gt;J58,J58,J64)</f>
        <v>0</v>
      </c>
      <c r="K66" s="478"/>
      <c r="L66" s="477">
        <f>IF(L64&gt;L58,L58,L64)</f>
        <v>0</v>
      </c>
      <c r="M66" s="478"/>
      <c r="N66" s="477">
        <f>IF(N64&gt;N58,N58,N64)</f>
        <v>0</v>
      </c>
      <c r="O66" s="478"/>
      <c r="P66" s="477">
        <f>IF(P64&gt;P58,P58,P64)</f>
        <v>0</v>
      </c>
      <c r="Q66" s="478"/>
      <c r="R66" s="477">
        <f>IF(R64&gt;R58,R58,R64)</f>
        <v>0</v>
      </c>
      <c r="S66" s="478"/>
      <c r="T66" s="477">
        <f>IF(T64&gt;T58,T58,T64)</f>
        <v>0</v>
      </c>
      <c r="U66" s="478"/>
      <c r="V66" s="477">
        <f>IF(V64&gt;V58,V58,V64)</f>
        <v>0</v>
      </c>
      <c r="W66" s="478"/>
      <c r="X66" s="477">
        <f>IF(X64&gt;X58,X58,X64)</f>
        <v>0</v>
      </c>
      <c r="Y66" s="478"/>
      <c r="Z66" s="477">
        <f>IF(Z64&gt;Z58,Z58,Z64)</f>
        <v>0</v>
      </c>
      <c r="AA66" s="478"/>
      <c r="AB66" s="464">
        <f>SUM(D66:Z66)</f>
        <v>0</v>
      </c>
    </row>
    <row r="67" spans="1:28" ht="13" x14ac:dyDescent="0.3">
      <c r="A67" s="449"/>
      <c r="B67" s="501" t="s">
        <v>517</v>
      </c>
      <c r="C67" s="480"/>
      <c r="D67" s="481"/>
      <c r="E67" s="481"/>
      <c r="F67" s="481"/>
      <c r="G67" s="481"/>
      <c r="H67" s="481"/>
      <c r="I67" s="481"/>
      <c r="J67" s="481"/>
      <c r="K67" s="481"/>
      <c r="L67" s="481"/>
      <c r="M67" s="481"/>
      <c r="N67" s="481"/>
      <c r="O67" s="481"/>
      <c r="P67" s="481"/>
      <c r="Q67" s="481"/>
      <c r="R67" s="481"/>
      <c r="S67" s="481"/>
      <c r="T67" s="481"/>
      <c r="U67" s="481"/>
      <c r="V67" s="481"/>
      <c r="W67" s="481"/>
      <c r="X67" s="481"/>
      <c r="Y67" s="481"/>
      <c r="Z67" s="481"/>
      <c r="AA67" s="481"/>
      <c r="AB67" s="507" t="s">
        <v>518</v>
      </c>
    </row>
    <row r="68" spans="1:28" ht="15.5" x14ac:dyDescent="0.35">
      <c r="A68" s="449" t="s">
        <v>519</v>
      </c>
      <c r="B68" s="475" t="s">
        <v>520</v>
      </c>
      <c r="C68" s="516"/>
      <c r="D68" s="477">
        <f>D50+D56-D62-D66</f>
        <v>1000</v>
      </c>
      <c r="E68" s="478"/>
      <c r="F68" s="477">
        <f>F50+F56-F62-F66</f>
        <v>1000</v>
      </c>
      <c r="G68" s="478"/>
      <c r="H68" s="477">
        <f>H50+H56-H62-H66</f>
        <v>1000</v>
      </c>
      <c r="I68" s="478"/>
      <c r="J68" s="477">
        <f>J50+J56-J62-J66</f>
        <v>1000</v>
      </c>
      <c r="K68" s="478"/>
      <c r="L68" s="477">
        <f>L50+L56-L62-L66</f>
        <v>1000</v>
      </c>
      <c r="M68" s="478"/>
      <c r="N68" s="477">
        <f>N50+N56-N62-N66</f>
        <v>1000</v>
      </c>
      <c r="O68" s="478"/>
      <c r="P68" s="477">
        <f>P50+P56-P62-P66</f>
        <v>1000</v>
      </c>
      <c r="Q68" s="478"/>
      <c r="R68" s="477">
        <f>R50+R56-R62-R66</f>
        <v>1000</v>
      </c>
      <c r="S68" s="478"/>
      <c r="T68" s="477">
        <f>T50+T56-T62-T66</f>
        <v>1000</v>
      </c>
      <c r="U68" s="478"/>
      <c r="V68" s="477">
        <f>V50+V56-V62-V66</f>
        <v>1000</v>
      </c>
      <c r="W68" s="478"/>
      <c r="X68" s="477">
        <f>X50+X56-X62-X66</f>
        <v>1000</v>
      </c>
      <c r="Y68" s="478"/>
      <c r="Z68" s="477">
        <f>Z50+Z56-Z62-Z66</f>
        <v>1000</v>
      </c>
      <c r="AA68" s="478"/>
      <c r="AB68" s="464">
        <f>AB50+AB56-AB62-AB66</f>
        <v>1000</v>
      </c>
    </row>
    <row r="69" spans="1:28" ht="13" thickBot="1" x14ac:dyDescent="0.3">
      <c r="A69" s="519"/>
      <c r="B69" s="520" t="s">
        <v>521</v>
      </c>
      <c r="C69" s="521"/>
      <c r="D69" s="522"/>
      <c r="E69" s="522"/>
      <c r="F69" s="522"/>
      <c r="G69" s="522"/>
      <c r="H69" s="522"/>
      <c r="I69" s="522"/>
      <c r="J69" s="522"/>
      <c r="K69" s="522"/>
      <c r="L69" s="522"/>
      <c r="M69" s="522"/>
      <c r="N69" s="522"/>
      <c r="O69" s="522"/>
      <c r="P69" s="522"/>
      <c r="Q69" s="522"/>
      <c r="R69" s="522"/>
      <c r="S69" s="522"/>
      <c r="T69" s="522"/>
      <c r="U69" s="522"/>
      <c r="V69" s="522"/>
      <c r="W69" s="522"/>
      <c r="X69" s="522"/>
      <c r="Y69" s="522"/>
      <c r="Z69" s="522"/>
      <c r="AA69" s="522"/>
      <c r="AB69" s="523" t="s">
        <v>522</v>
      </c>
    </row>
  </sheetData>
  <mergeCells count="3">
    <mergeCell ref="A1:AB1"/>
    <mergeCell ref="A3:B3"/>
    <mergeCell ref="B59:C59"/>
  </mergeCells>
  <printOptions horizontalCentered="1"/>
  <pageMargins left="0.75" right="0.75" top="0.75" bottom="0.75" header="0" footer="0"/>
  <pageSetup scale="34" orientation="landscape" horizontalDpi="4294967293" verticalDpi="4294967293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BB4E-FC82-4ACD-BBDF-D1F5277F6AAF}">
  <dimension ref="A1:H17"/>
  <sheetViews>
    <sheetView zoomScale="130" zoomScaleNormal="130" workbookViewId="0">
      <selection activeCell="F26" sqref="F26"/>
    </sheetView>
  </sheetViews>
  <sheetFormatPr defaultRowHeight="14.5" x14ac:dyDescent="0.35"/>
  <cols>
    <col min="1" max="1" width="8.7265625" customWidth="1"/>
    <col min="2" max="2" width="16" customWidth="1"/>
  </cols>
  <sheetData>
    <row r="1" spans="1:8" x14ac:dyDescent="0.35">
      <c r="A1" t="s">
        <v>654</v>
      </c>
    </row>
    <row r="3" spans="1:8" x14ac:dyDescent="0.35">
      <c r="B3" t="s">
        <v>652</v>
      </c>
      <c r="C3" t="s">
        <v>122</v>
      </c>
      <c r="D3" t="s">
        <v>653</v>
      </c>
      <c r="E3" t="s">
        <v>120</v>
      </c>
    </row>
    <row r="4" spans="1:8" x14ac:dyDescent="0.35">
      <c r="D4" s="13"/>
    </row>
    <row r="5" spans="1:8" x14ac:dyDescent="0.35">
      <c r="A5" t="s">
        <v>351</v>
      </c>
    </row>
    <row r="6" spans="1:8" x14ac:dyDescent="0.35">
      <c r="B6" t="s">
        <v>658</v>
      </c>
      <c r="C6">
        <v>1000</v>
      </c>
      <c r="D6" s="13">
        <v>5</v>
      </c>
      <c r="E6" s="13">
        <f>C6*D6</f>
        <v>5000</v>
      </c>
    </row>
    <row r="7" spans="1:8" x14ac:dyDescent="0.35">
      <c r="B7" t="s">
        <v>659</v>
      </c>
      <c r="C7">
        <v>300</v>
      </c>
      <c r="D7" s="13">
        <v>8</v>
      </c>
      <c r="E7" s="13">
        <f t="shared" ref="E7:E14" si="0">C7*D7</f>
        <v>2400</v>
      </c>
    </row>
    <row r="8" spans="1:8" x14ac:dyDescent="0.35">
      <c r="A8" t="s">
        <v>352</v>
      </c>
      <c r="E8" s="13">
        <f>E6+E7</f>
        <v>7400</v>
      </c>
    </row>
    <row r="9" spans="1:8" x14ac:dyDescent="0.35">
      <c r="E9" s="13"/>
    </row>
    <row r="10" spans="1:8" x14ac:dyDescent="0.35">
      <c r="A10" t="s">
        <v>655</v>
      </c>
      <c r="E10" s="13"/>
    </row>
    <row r="11" spans="1:8" x14ac:dyDescent="0.35">
      <c r="B11" t="s">
        <v>656</v>
      </c>
      <c r="C11">
        <v>350</v>
      </c>
      <c r="D11" s="13">
        <v>5</v>
      </c>
      <c r="E11" s="13">
        <f t="shared" si="0"/>
        <v>1750</v>
      </c>
      <c r="F11" s="7"/>
      <c r="G11" s="13"/>
      <c r="H11" s="13"/>
    </row>
    <row r="12" spans="1:8" x14ac:dyDescent="0.35">
      <c r="B12" t="s">
        <v>353</v>
      </c>
      <c r="C12">
        <v>150</v>
      </c>
      <c r="D12" s="13">
        <v>12</v>
      </c>
      <c r="E12" s="13">
        <f t="shared" si="0"/>
        <v>1800</v>
      </c>
      <c r="F12" s="7"/>
      <c r="G12" s="13"/>
      <c r="H12" s="13"/>
    </row>
    <row r="13" spans="1:8" x14ac:dyDescent="0.35">
      <c r="B13" t="s">
        <v>355</v>
      </c>
      <c r="C13">
        <v>1</v>
      </c>
      <c r="D13" s="13">
        <v>850</v>
      </c>
      <c r="E13" s="13">
        <f t="shared" si="0"/>
        <v>850</v>
      </c>
      <c r="F13" s="7"/>
      <c r="G13" s="13"/>
      <c r="H13" s="13"/>
    </row>
    <row r="14" spans="1:8" x14ac:dyDescent="0.35">
      <c r="B14" t="s">
        <v>657</v>
      </c>
      <c r="C14">
        <v>1</v>
      </c>
      <c r="D14" s="13">
        <v>500</v>
      </c>
      <c r="E14" s="13">
        <f t="shared" si="0"/>
        <v>500</v>
      </c>
      <c r="F14" s="7"/>
      <c r="G14" s="13"/>
      <c r="H14" s="13"/>
    </row>
    <row r="15" spans="1:8" x14ac:dyDescent="0.35">
      <c r="A15" t="s">
        <v>379</v>
      </c>
      <c r="E15" s="13">
        <f>SUM(E11:E14)</f>
        <v>4900</v>
      </c>
      <c r="G15" s="13"/>
    </row>
    <row r="17" spans="1:5" x14ac:dyDescent="0.35">
      <c r="A17" t="s">
        <v>660</v>
      </c>
      <c r="E17" s="13">
        <f>E8-E15</f>
        <v>2500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81E8-0073-4B54-B427-244ABB801C55}">
  <sheetPr codeName="Sheet2"/>
  <dimension ref="A1:Z219"/>
  <sheetViews>
    <sheetView showGridLines="0" zoomScaleNormal="100" zoomScaleSheetLayoutView="75" workbookViewId="0">
      <selection activeCell="F11" sqref="F11"/>
    </sheetView>
  </sheetViews>
  <sheetFormatPr defaultColWidth="11.453125" defaultRowHeight="15.5" x14ac:dyDescent="0.35"/>
  <cols>
    <col min="1" max="1" width="21" style="19" customWidth="1"/>
    <col min="2" max="2" width="10.08984375" style="19" customWidth="1"/>
    <col min="3" max="3" width="3.26953125" style="19" customWidth="1"/>
    <col min="4" max="4" width="10.36328125" style="19" customWidth="1"/>
    <col min="5" max="5" width="10.26953125" style="19" customWidth="1"/>
    <col min="6" max="6" width="11.6328125" style="20" customWidth="1"/>
    <col min="7" max="7" width="10.36328125" style="19" customWidth="1"/>
    <col min="8" max="8" width="11.54296875" style="19" customWidth="1"/>
    <col min="9" max="10" width="15.08984375" style="19" customWidth="1"/>
    <col min="11" max="11" width="6.1796875" style="19" customWidth="1"/>
    <col min="12" max="14" width="11.453125" style="19" customWidth="1"/>
    <col min="15" max="15" width="9.08984375" style="19" customWidth="1"/>
    <col min="16" max="16" width="11.453125" style="19" customWidth="1"/>
    <col min="17" max="17" width="12.6328125" style="19" customWidth="1"/>
    <col min="18" max="256" width="11.453125" style="19"/>
    <col min="257" max="257" width="21" style="19" customWidth="1"/>
    <col min="258" max="258" width="10.08984375" style="19" customWidth="1"/>
    <col min="259" max="259" width="3.26953125" style="19" customWidth="1"/>
    <col min="260" max="260" width="10.36328125" style="19" customWidth="1"/>
    <col min="261" max="261" width="10.26953125" style="19" customWidth="1"/>
    <col min="262" max="262" width="11.6328125" style="19" customWidth="1"/>
    <col min="263" max="263" width="10.36328125" style="19" customWidth="1"/>
    <col min="264" max="264" width="11.54296875" style="19" customWidth="1"/>
    <col min="265" max="266" width="15.08984375" style="19" customWidth="1"/>
    <col min="267" max="267" width="6.1796875" style="19" customWidth="1"/>
    <col min="268" max="270" width="11.453125" style="19"/>
    <col min="271" max="271" width="9.08984375" style="19" customWidth="1"/>
    <col min="272" max="272" width="11.453125" style="19"/>
    <col min="273" max="273" width="12.6328125" style="19" customWidth="1"/>
    <col min="274" max="512" width="11.453125" style="19"/>
    <col min="513" max="513" width="21" style="19" customWidth="1"/>
    <col min="514" max="514" width="10.08984375" style="19" customWidth="1"/>
    <col min="515" max="515" width="3.26953125" style="19" customWidth="1"/>
    <col min="516" max="516" width="10.36328125" style="19" customWidth="1"/>
    <col min="517" max="517" width="10.26953125" style="19" customWidth="1"/>
    <col min="518" max="518" width="11.6328125" style="19" customWidth="1"/>
    <col min="519" max="519" width="10.36328125" style="19" customWidth="1"/>
    <col min="520" max="520" width="11.54296875" style="19" customWidth="1"/>
    <col min="521" max="522" width="15.08984375" style="19" customWidth="1"/>
    <col min="523" max="523" width="6.1796875" style="19" customWidth="1"/>
    <col min="524" max="526" width="11.453125" style="19"/>
    <col min="527" max="527" width="9.08984375" style="19" customWidth="1"/>
    <col min="528" max="528" width="11.453125" style="19"/>
    <col min="529" max="529" width="12.6328125" style="19" customWidth="1"/>
    <col min="530" max="768" width="11.453125" style="19"/>
    <col min="769" max="769" width="21" style="19" customWidth="1"/>
    <col min="770" max="770" width="10.08984375" style="19" customWidth="1"/>
    <col min="771" max="771" width="3.26953125" style="19" customWidth="1"/>
    <col min="772" max="772" width="10.36328125" style="19" customWidth="1"/>
    <col min="773" max="773" width="10.26953125" style="19" customWidth="1"/>
    <col min="774" max="774" width="11.6328125" style="19" customWidth="1"/>
    <col min="775" max="775" width="10.36328125" style="19" customWidth="1"/>
    <col min="776" max="776" width="11.54296875" style="19" customWidth="1"/>
    <col min="777" max="778" width="15.08984375" style="19" customWidth="1"/>
    <col min="779" max="779" width="6.1796875" style="19" customWidth="1"/>
    <col min="780" max="782" width="11.453125" style="19"/>
    <col min="783" max="783" width="9.08984375" style="19" customWidth="1"/>
    <col min="784" max="784" width="11.453125" style="19"/>
    <col min="785" max="785" width="12.6328125" style="19" customWidth="1"/>
    <col min="786" max="1024" width="11.453125" style="19"/>
    <col min="1025" max="1025" width="21" style="19" customWidth="1"/>
    <col min="1026" max="1026" width="10.08984375" style="19" customWidth="1"/>
    <col min="1027" max="1027" width="3.26953125" style="19" customWidth="1"/>
    <col min="1028" max="1028" width="10.36328125" style="19" customWidth="1"/>
    <col min="1029" max="1029" width="10.26953125" style="19" customWidth="1"/>
    <col min="1030" max="1030" width="11.6328125" style="19" customWidth="1"/>
    <col min="1031" max="1031" width="10.36328125" style="19" customWidth="1"/>
    <col min="1032" max="1032" width="11.54296875" style="19" customWidth="1"/>
    <col min="1033" max="1034" width="15.08984375" style="19" customWidth="1"/>
    <col min="1035" max="1035" width="6.1796875" style="19" customWidth="1"/>
    <col min="1036" max="1038" width="11.453125" style="19"/>
    <col min="1039" max="1039" width="9.08984375" style="19" customWidth="1"/>
    <col min="1040" max="1040" width="11.453125" style="19"/>
    <col min="1041" max="1041" width="12.6328125" style="19" customWidth="1"/>
    <col min="1042" max="1280" width="11.453125" style="19"/>
    <col min="1281" max="1281" width="21" style="19" customWidth="1"/>
    <col min="1282" max="1282" width="10.08984375" style="19" customWidth="1"/>
    <col min="1283" max="1283" width="3.26953125" style="19" customWidth="1"/>
    <col min="1284" max="1284" width="10.36328125" style="19" customWidth="1"/>
    <col min="1285" max="1285" width="10.26953125" style="19" customWidth="1"/>
    <col min="1286" max="1286" width="11.6328125" style="19" customWidth="1"/>
    <col min="1287" max="1287" width="10.36328125" style="19" customWidth="1"/>
    <col min="1288" max="1288" width="11.54296875" style="19" customWidth="1"/>
    <col min="1289" max="1290" width="15.08984375" style="19" customWidth="1"/>
    <col min="1291" max="1291" width="6.1796875" style="19" customWidth="1"/>
    <col min="1292" max="1294" width="11.453125" style="19"/>
    <col min="1295" max="1295" width="9.08984375" style="19" customWidth="1"/>
    <col min="1296" max="1296" width="11.453125" style="19"/>
    <col min="1297" max="1297" width="12.6328125" style="19" customWidth="1"/>
    <col min="1298" max="1536" width="11.453125" style="19"/>
    <col min="1537" max="1537" width="21" style="19" customWidth="1"/>
    <col min="1538" max="1538" width="10.08984375" style="19" customWidth="1"/>
    <col min="1539" max="1539" width="3.26953125" style="19" customWidth="1"/>
    <col min="1540" max="1540" width="10.36328125" style="19" customWidth="1"/>
    <col min="1541" max="1541" width="10.26953125" style="19" customWidth="1"/>
    <col min="1542" max="1542" width="11.6328125" style="19" customWidth="1"/>
    <col min="1543" max="1543" width="10.36328125" style="19" customWidth="1"/>
    <col min="1544" max="1544" width="11.54296875" style="19" customWidth="1"/>
    <col min="1545" max="1546" width="15.08984375" style="19" customWidth="1"/>
    <col min="1547" max="1547" width="6.1796875" style="19" customWidth="1"/>
    <col min="1548" max="1550" width="11.453125" style="19"/>
    <col min="1551" max="1551" width="9.08984375" style="19" customWidth="1"/>
    <col min="1552" max="1552" width="11.453125" style="19"/>
    <col min="1553" max="1553" width="12.6328125" style="19" customWidth="1"/>
    <col min="1554" max="1792" width="11.453125" style="19"/>
    <col min="1793" max="1793" width="21" style="19" customWidth="1"/>
    <col min="1794" max="1794" width="10.08984375" style="19" customWidth="1"/>
    <col min="1795" max="1795" width="3.26953125" style="19" customWidth="1"/>
    <col min="1796" max="1796" width="10.36328125" style="19" customWidth="1"/>
    <col min="1797" max="1797" width="10.26953125" style="19" customWidth="1"/>
    <col min="1798" max="1798" width="11.6328125" style="19" customWidth="1"/>
    <col min="1799" max="1799" width="10.36328125" style="19" customWidth="1"/>
    <col min="1800" max="1800" width="11.54296875" style="19" customWidth="1"/>
    <col min="1801" max="1802" width="15.08984375" style="19" customWidth="1"/>
    <col min="1803" max="1803" width="6.1796875" style="19" customWidth="1"/>
    <col min="1804" max="1806" width="11.453125" style="19"/>
    <col min="1807" max="1807" width="9.08984375" style="19" customWidth="1"/>
    <col min="1808" max="1808" width="11.453125" style="19"/>
    <col min="1809" max="1809" width="12.6328125" style="19" customWidth="1"/>
    <col min="1810" max="2048" width="11.453125" style="19"/>
    <col min="2049" max="2049" width="21" style="19" customWidth="1"/>
    <col min="2050" max="2050" width="10.08984375" style="19" customWidth="1"/>
    <col min="2051" max="2051" width="3.26953125" style="19" customWidth="1"/>
    <col min="2052" max="2052" width="10.36328125" style="19" customWidth="1"/>
    <col min="2053" max="2053" width="10.26953125" style="19" customWidth="1"/>
    <col min="2054" max="2054" width="11.6328125" style="19" customWidth="1"/>
    <col min="2055" max="2055" width="10.36328125" style="19" customWidth="1"/>
    <col min="2056" max="2056" width="11.54296875" style="19" customWidth="1"/>
    <col min="2057" max="2058" width="15.08984375" style="19" customWidth="1"/>
    <col min="2059" max="2059" width="6.1796875" style="19" customWidth="1"/>
    <col min="2060" max="2062" width="11.453125" style="19"/>
    <col min="2063" max="2063" width="9.08984375" style="19" customWidth="1"/>
    <col min="2064" max="2064" width="11.453125" style="19"/>
    <col min="2065" max="2065" width="12.6328125" style="19" customWidth="1"/>
    <col min="2066" max="2304" width="11.453125" style="19"/>
    <col min="2305" max="2305" width="21" style="19" customWidth="1"/>
    <col min="2306" max="2306" width="10.08984375" style="19" customWidth="1"/>
    <col min="2307" max="2307" width="3.26953125" style="19" customWidth="1"/>
    <col min="2308" max="2308" width="10.36328125" style="19" customWidth="1"/>
    <col min="2309" max="2309" width="10.26953125" style="19" customWidth="1"/>
    <col min="2310" max="2310" width="11.6328125" style="19" customWidth="1"/>
    <col min="2311" max="2311" width="10.36328125" style="19" customWidth="1"/>
    <col min="2312" max="2312" width="11.54296875" style="19" customWidth="1"/>
    <col min="2313" max="2314" width="15.08984375" style="19" customWidth="1"/>
    <col min="2315" max="2315" width="6.1796875" style="19" customWidth="1"/>
    <col min="2316" max="2318" width="11.453125" style="19"/>
    <col min="2319" max="2319" width="9.08984375" style="19" customWidth="1"/>
    <col min="2320" max="2320" width="11.453125" style="19"/>
    <col min="2321" max="2321" width="12.6328125" style="19" customWidth="1"/>
    <col min="2322" max="2560" width="11.453125" style="19"/>
    <col min="2561" max="2561" width="21" style="19" customWidth="1"/>
    <col min="2562" max="2562" width="10.08984375" style="19" customWidth="1"/>
    <col min="2563" max="2563" width="3.26953125" style="19" customWidth="1"/>
    <col min="2564" max="2564" width="10.36328125" style="19" customWidth="1"/>
    <col min="2565" max="2565" width="10.26953125" style="19" customWidth="1"/>
    <col min="2566" max="2566" width="11.6328125" style="19" customWidth="1"/>
    <col min="2567" max="2567" width="10.36328125" style="19" customWidth="1"/>
    <col min="2568" max="2568" width="11.54296875" style="19" customWidth="1"/>
    <col min="2569" max="2570" width="15.08984375" style="19" customWidth="1"/>
    <col min="2571" max="2571" width="6.1796875" style="19" customWidth="1"/>
    <col min="2572" max="2574" width="11.453125" style="19"/>
    <col min="2575" max="2575" width="9.08984375" style="19" customWidth="1"/>
    <col min="2576" max="2576" width="11.453125" style="19"/>
    <col min="2577" max="2577" width="12.6328125" style="19" customWidth="1"/>
    <col min="2578" max="2816" width="11.453125" style="19"/>
    <col min="2817" max="2817" width="21" style="19" customWidth="1"/>
    <col min="2818" max="2818" width="10.08984375" style="19" customWidth="1"/>
    <col min="2819" max="2819" width="3.26953125" style="19" customWidth="1"/>
    <col min="2820" max="2820" width="10.36328125" style="19" customWidth="1"/>
    <col min="2821" max="2821" width="10.26953125" style="19" customWidth="1"/>
    <col min="2822" max="2822" width="11.6328125" style="19" customWidth="1"/>
    <col min="2823" max="2823" width="10.36328125" style="19" customWidth="1"/>
    <col min="2824" max="2824" width="11.54296875" style="19" customWidth="1"/>
    <col min="2825" max="2826" width="15.08984375" style="19" customWidth="1"/>
    <col min="2827" max="2827" width="6.1796875" style="19" customWidth="1"/>
    <col min="2828" max="2830" width="11.453125" style="19"/>
    <col min="2831" max="2831" width="9.08984375" style="19" customWidth="1"/>
    <col min="2832" max="2832" width="11.453125" style="19"/>
    <col min="2833" max="2833" width="12.6328125" style="19" customWidth="1"/>
    <col min="2834" max="3072" width="11.453125" style="19"/>
    <col min="3073" max="3073" width="21" style="19" customWidth="1"/>
    <col min="3074" max="3074" width="10.08984375" style="19" customWidth="1"/>
    <col min="3075" max="3075" width="3.26953125" style="19" customWidth="1"/>
    <col min="3076" max="3076" width="10.36328125" style="19" customWidth="1"/>
    <col min="3077" max="3077" width="10.26953125" style="19" customWidth="1"/>
    <col min="3078" max="3078" width="11.6328125" style="19" customWidth="1"/>
    <col min="3079" max="3079" width="10.36328125" style="19" customWidth="1"/>
    <col min="3080" max="3080" width="11.54296875" style="19" customWidth="1"/>
    <col min="3081" max="3082" width="15.08984375" style="19" customWidth="1"/>
    <col min="3083" max="3083" width="6.1796875" style="19" customWidth="1"/>
    <col min="3084" max="3086" width="11.453125" style="19"/>
    <col min="3087" max="3087" width="9.08984375" style="19" customWidth="1"/>
    <col min="3088" max="3088" width="11.453125" style="19"/>
    <col min="3089" max="3089" width="12.6328125" style="19" customWidth="1"/>
    <col min="3090" max="3328" width="11.453125" style="19"/>
    <col min="3329" max="3329" width="21" style="19" customWidth="1"/>
    <col min="3330" max="3330" width="10.08984375" style="19" customWidth="1"/>
    <col min="3331" max="3331" width="3.26953125" style="19" customWidth="1"/>
    <col min="3332" max="3332" width="10.36328125" style="19" customWidth="1"/>
    <col min="3333" max="3333" width="10.26953125" style="19" customWidth="1"/>
    <col min="3334" max="3334" width="11.6328125" style="19" customWidth="1"/>
    <col min="3335" max="3335" width="10.36328125" style="19" customWidth="1"/>
    <col min="3336" max="3336" width="11.54296875" style="19" customWidth="1"/>
    <col min="3337" max="3338" width="15.08984375" style="19" customWidth="1"/>
    <col min="3339" max="3339" width="6.1796875" style="19" customWidth="1"/>
    <col min="3340" max="3342" width="11.453125" style="19"/>
    <col min="3343" max="3343" width="9.08984375" style="19" customWidth="1"/>
    <col min="3344" max="3344" width="11.453125" style="19"/>
    <col min="3345" max="3345" width="12.6328125" style="19" customWidth="1"/>
    <col min="3346" max="3584" width="11.453125" style="19"/>
    <col min="3585" max="3585" width="21" style="19" customWidth="1"/>
    <col min="3586" max="3586" width="10.08984375" style="19" customWidth="1"/>
    <col min="3587" max="3587" width="3.26953125" style="19" customWidth="1"/>
    <col min="3588" max="3588" width="10.36328125" style="19" customWidth="1"/>
    <col min="3589" max="3589" width="10.26953125" style="19" customWidth="1"/>
    <col min="3590" max="3590" width="11.6328125" style="19" customWidth="1"/>
    <col min="3591" max="3591" width="10.36328125" style="19" customWidth="1"/>
    <col min="3592" max="3592" width="11.54296875" style="19" customWidth="1"/>
    <col min="3593" max="3594" width="15.08984375" style="19" customWidth="1"/>
    <col min="3595" max="3595" width="6.1796875" style="19" customWidth="1"/>
    <col min="3596" max="3598" width="11.453125" style="19"/>
    <col min="3599" max="3599" width="9.08984375" style="19" customWidth="1"/>
    <col min="3600" max="3600" width="11.453125" style="19"/>
    <col min="3601" max="3601" width="12.6328125" style="19" customWidth="1"/>
    <col min="3602" max="3840" width="11.453125" style="19"/>
    <col min="3841" max="3841" width="21" style="19" customWidth="1"/>
    <col min="3842" max="3842" width="10.08984375" style="19" customWidth="1"/>
    <col min="3843" max="3843" width="3.26953125" style="19" customWidth="1"/>
    <col min="3844" max="3844" width="10.36328125" style="19" customWidth="1"/>
    <col min="3845" max="3845" width="10.26953125" style="19" customWidth="1"/>
    <col min="3846" max="3846" width="11.6328125" style="19" customWidth="1"/>
    <col min="3847" max="3847" width="10.36328125" style="19" customWidth="1"/>
    <col min="3848" max="3848" width="11.54296875" style="19" customWidth="1"/>
    <col min="3849" max="3850" width="15.08984375" style="19" customWidth="1"/>
    <col min="3851" max="3851" width="6.1796875" style="19" customWidth="1"/>
    <col min="3852" max="3854" width="11.453125" style="19"/>
    <col min="3855" max="3855" width="9.08984375" style="19" customWidth="1"/>
    <col min="3856" max="3856" width="11.453125" style="19"/>
    <col min="3857" max="3857" width="12.6328125" style="19" customWidth="1"/>
    <col min="3858" max="4096" width="11.453125" style="19"/>
    <col min="4097" max="4097" width="21" style="19" customWidth="1"/>
    <col min="4098" max="4098" width="10.08984375" style="19" customWidth="1"/>
    <col min="4099" max="4099" width="3.26953125" style="19" customWidth="1"/>
    <col min="4100" max="4100" width="10.36328125" style="19" customWidth="1"/>
    <col min="4101" max="4101" width="10.26953125" style="19" customWidth="1"/>
    <col min="4102" max="4102" width="11.6328125" style="19" customWidth="1"/>
    <col min="4103" max="4103" width="10.36328125" style="19" customWidth="1"/>
    <col min="4104" max="4104" width="11.54296875" style="19" customWidth="1"/>
    <col min="4105" max="4106" width="15.08984375" style="19" customWidth="1"/>
    <col min="4107" max="4107" width="6.1796875" style="19" customWidth="1"/>
    <col min="4108" max="4110" width="11.453125" style="19"/>
    <col min="4111" max="4111" width="9.08984375" style="19" customWidth="1"/>
    <col min="4112" max="4112" width="11.453125" style="19"/>
    <col min="4113" max="4113" width="12.6328125" style="19" customWidth="1"/>
    <col min="4114" max="4352" width="11.453125" style="19"/>
    <col min="4353" max="4353" width="21" style="19" customWidth="1"/>
    <col min="4354" max="4354" width="10.08984375" style="19" customWidth="1"/>
    <col min="4355" max="4355" width="3.26953125" style="19" customWidth="1"/>
    <col min="4356" max="4356" width="10.36328125" style="19" customWidth="1"/>
    <col min="4357" max="4357" width="10.26953125" style="19" customWidth="1"/>
    <col min="4358" max="4358" width="11.6328125" style="19" customWidth="1"/>
    <col min="4359" max="4359" width="10.36328125" style="19" customWidth="1"/>
    <col min="4360" max="4360" width="11.54296875" style="19" customWidth="1"/>
    <col min="4361" max="4362" width="15.08984375" style="19" customWidth="1"/>
    <col min="4363" max="4363" width="6.1796875" style="19" customWidth="1"/>
    <col min="4364" max="4366" width="11.453125" style="19"/>
    <col min="4367" max="4367" width="9.08984375" style="19" customWidth="1"/>
    <col min="4368" max="4368" width="11.453125" style="19"/>
    <col min="4369" max="4369" width="12.6328125" style="19" customWidth="1"/>
    <col min="4370" max="4608" width="11.453125" style="19"/>
    <col min="4609" max="4609" width="21" style="19" customWidth="1"/>
    <col min="4610" max="4610" width="10.08984375" style="19" customWidth="1"/>
    <col min="4611" max="4611" width="3.26953125" style="19" customWidth="1"/>
    <col min="4612" max="4612" width="10.36328125" style="19" customWidth="1"/>
    <col min="4613" max="4613" width="10.26953125" style="19" customWidth="1"/>
    <col min="4614" max="4614" width="11.6328125" style="19" customWidth="1"/>
    <col min="4615" max="4615" width="10.36328125" style="19" customWidth="1"/>
    <col min="4616" max="4616" width="11.54296875" style="19" customWidth="1"/>
    <col min="4617" max="4618" width="15.08984375" style="19" customWidth="1"/>
    <col min="4619" max="4619" width="6.1796875" style="19" customWidth="1"/>
    <col min="4620" max="4622" width="11.453125" style="19"/>
    <col min="4623" max="4623" width="9.08984375" style="19" customWidth="1"/>
    <col min="4624" max="4624" width="11.453125" style="19"/>
    <col min="4625" max="4625" width="12.6328125" style="19" customWidth="1"/>
    <col min="4626" max="4864" width="11.453125" style="19"/>
    <col min="4865" max="4865" width="21" style="19" customWidth="1"/>
    <col min="4866" max="4866" width="10.08984375" style="19" customWidth="1"/>
    <col min="4867" max="4867" width="3.26953125" style="19" customWidth="1"/>
    <col min="4868" max="4868" width="10.36328125" style="19" customWidth="1"/>
    <col min="4869" max="4869" width="10.26953125" style="19" customWidth="1"/>
    <col min="4870" max="4870" width="11.6328125" style="19" customWidth="1"/>
    <col min="4871" max="4871" width="10.36328125" style="19" customWidth="1"/>
    <col min="4872" max="4872" width="11.54296875" style="19" customWidth="1"/>
    <col min="4873" max="4874" width="15.08984375" style="19" customWidth="1"/>
    <col min="4875" max="4875" width="6.1796875" style="19" customWidth="1"/>
    <col min="4876" max="4878" width="11.453125" style="19"/>
    <col min="4879" max="4879" width="9.08984375" style="19" customWidth="1"/>
    <col min="4880" max="4880" width="11.453125" style="19"/>
    <col min="4881" max="4881" width="12.6328125" style="19" customWidth="1"/>
    <col min="4882" max="5120" width="11.453125" style="19"/>
    <col min="5121" max="5121" width="21" style="19" customWidth="1"/>
    <col min="5122" max="5122" width="10.08984375" style="19" customWidth="1"/>
    <col min="5123" max="5123" width="3.26953125" style="19" customWidth="1"/>
    <col min="5124" max="5124" width="10.36328125" style="19" customWidth="1"/>
    <col min="5125" max="5125" width="10.26953125" style="19" customWidth="1"/>
    <col min="5126" max="5126" width="11.6328125" style="19" customWidth="1"/>
    <col min="5127" max="5127" width="10.36328125" style="19" customWidth="1"/>
    <col min="5128" max="5128" width="11.54296875" style="19" customWidth="1"/>
    <col min="5129" max="5130" width="15.08984375" style="19" customWidth="1"/>
    <col min="5131" max="5131" width="6.1796875" style="19" customWidth="1"/>
    <col min="5132" max="5134" width="11.453125" style="19"/>
    <col min="5135" max="5135" width="9.08984375" style="19" customWidth="1"/>
    <col min="5136" max="5136" width="11.453125" style="19"/>
    <col min="5137" max="5137" width="12.6328125" style="19" customWidth="1"/>
    <col min="5138" max="5376" width="11.453125" style="19"/>
    <col min="5377" max="5377" width="21" style="19" customWidth="1"/>
    <col min="5378" max="5378" width="10.08984375" style="19" customWidth="1"/>
    <col min="5379" max="5379" width="3.26953125" style="19" customWidth="1"/>
    <col min="5380" max="5380" width="10.36328125" style="19" customWidth="1"/>
    <col min="5381" max="5381" width="10.26953125" style="19" customWidth="1"/>
    <col min="5382" max="5382" width="11.6328125" style="19" customWidth="1"/>
    <col min="5383" max="5383" width="10.36328125" style="19" customWidth="1"/>
    <col min="5384" max="5384" width="11.54296875" style="19" customWidth="1"/>
    <col min="5385" max="5386" width="15.08984375" style="19" customWidth="1"/>
    <col min="5387" max="5387" width="6.1796875" style="19" customWidth="1"/>
    <col min="5388" max="5390" width="11.453125" style="19"/>
    <col min="5391" max="5391" width="9.08984375" style="19" customWidth="1"/>
    <col min="5392" max="5392" width="11.453125" style="19"/>
    <col min="5393" max="5393" width="12.6328125" style="19" customWidth="1"/>
    <col min="5394" max="5632" width="11.453125" style="19"/>
    <col min="5633" max="5633" width="21" style="19" customWidth="1"/>
    <col min="5634" max="5634" width="10.08984375" style="19" customWidth="1"/>
    <col min="5635" max="5635" width="3.26953125" style="19" customWidth="1"/>
    <col min="5636" max="5636" width="10.36328125" style="19" customWidth="1"/>
    <col min="5637" max="5637" width="10.26953125" style="19" customWidth="1"/>
    <col min="5638" max="5638" width="11.6328125" style="19" customWidth="1"/>
    <col min="5639" max="5639" width="10.36328125" style="19" customWidth="1"/>
    <col min="5640" max="5640" width="11.54296875" style="19" customWidth="1"/>
    <col min="5641" max="5642" width="15.08984375" style="19" customWidth="1"/>
    <col min="5643" max="5643" width="6.1796875" style="19" customWidth="1"/>
    <col min="5644" max="5646" width="11.453125" style="19"/>
    <col min="5647" max="5647" width="9.08984375" style="19" customWidth="1"/>
    <col min="5648" max="5648" width="11.453125" style="19"/>
    <col min="5649" max="5649" width="12.6328125" style="19" customWidth="1"/>
    <col min="5650" max="5888" width="11.453125" style="19"/>
    <col min="5889" max="5889" width="21" style="19" customWidth="1"/>
    <col min="5890" max="5890" width="10.08984375" style="19" customWidth="1"/>
    <col min="5891" max="5891" width="3.26953125" style="19" customWidth="1"/>
    <col min="5892" max="5892" width="10.36328125" style="19" customWidth="1"/>
    <col min="5893" max="5893" width="10.26953125" style="19" customWidth="1"/>
    <col min="5894" max="5894" width="11.6328125" style="19" customWidth="1"/>
    <col min="5895" max="5895" width="10.36328125" style="19" customWidth="1"/>
    <col min="5896" max="5896" width="11.54296875" style="19" customWidth="1"/>
    <col min="5897" max="5898" width="15.08984375" style="19" customWidth="1"/>
    <col min="5899" max="5899" width="6.1796875" style="19" customWidth="1"/>
    <col min="5900" max="5902" width="11.453125" style="19"/>
    <col min="5903" max="5903" width="9.08984375" style="19" customWidth="1"/>
    <col min="5904" max="5904" width="11.453125" style="19"/>
    <col min="5905" max="5905" width="12.6328125" style="19" customWidth="1"/>
    <col min="5906" max="6144" width="11.453125" style="19"/>
    <col min="6145" max="6145" width="21" style="19" customWidth="1"/>
    <col min="6146" max="6146" width="10.08984375" style="19" customWidth="1"/>
    <col min="6147" max="6147" width="3.26953125" style="19" customWidth="1"/>
    <col min="6148" max="6148" width="10.36328125" style="19" customWidth="1"/>
    <col min="6149" max="6149" width="10.26953125" style="19" customWidth="1"/>
    <col min="6150" max="6150" width="11.6328125" style="19" customWidth="1"/>
    <col min="6151" max="6151" width="10.36328125" style="19" customWidth="1"/>
    <col min="6152" max="6152" width="11.54296875" style="19" customWidth="1"/>
    <col min="6153" max="6154" width="15.08984375" style="19" customWidth="1"/>
    <col min="6155" max="6155" width="6.1796875" style="19" customWidth="1"/>
    <col min="6156" max="6158" width="11.453125" style="19"/>
    <col min="6159" max="6159" width="9.08984375" style="19" customWidth="1"/>
    <col min="6160" max="6160" width="11.453125" style="19"/>
    <col min="6161" max="6161" width="12.6328125" style="19" customWidth="1"/>
    <col min="6162" max="6400" width="11.453125" style="19"/>
    <col min="6401" max="6401" width="21" style="19" customWidth="1"/>
    <col min="6402" max="6402" width="10.08984375" style="19" customWidth="1"/>
    <col min="6403" max="6403" width="3.26953125" style="19" customWidth="1"/>
    <col min="6404" max="6404" width="10.36328125" style="19" customWidth="1"/>
    <col min="6405" max="6405" width="10.26953125" style="19" customWidth="1"/>
    <col min="6406" max="6406" width="11.6328125" style="19" customWidth="1"/>
    <col min="6407" max="6407" width="10.36328125" style="19" customWidth="1"/>
    <col min="6408" max="6408" width="11.54296875" style="19" customWidth="1"/>
    <col min="6409" max="6410" width="15.08984375" style="19" customWidth="1"/>
    <col min="6411" max="6411" width="6.1796875" style="19" customWidth="1"/>
    <col min="6412" max="6414" width="11.453125" style="19"/>
    <col min="6415" max="6415" width="9.08984375" style="19" customWidth="1"/>
    <col min="6416" max="6416" width="11.453125" style="19"/>
    <col min="6417" max="6417" width="12.6328125" style="19" customWidth="1"/>
    <col min="6418" max="6656" width="11.453125" style="19"/>
    <col min="6657" max="6657" width="21" style="19" customWidth="1"/>
    <col min="6658" max="6658" width="10.08984375" style="19" customWidth="1"/>
    <col min="6659" max="6659" width="3.26953125" style="19" customWidth="1"/>
    <col min="6660" max="6660" width="10.36328125" style="19" customWidth="1"/>
    <col min="6661" max="6661" width="10.26953125" style="19" customWidth="1"/>
    <col min="6662" max="6662" width="11.6328125" style="19" customWidth="1"/>
    <col min="6663" max="6663" width="10.36328125" style="19" customWidth="1"/>
    <col min="6664" max="6664" width="11.54296875" style="19" customWidth="1"/>
    <col min="6665" max="6666" width="15.08984375" style="19" customWidth="1"/>
    <col min="6667" max="6667" width="6.1796875" style="19" customWidth="1"/>
    <col min="6668" max="6670" width="11.453125" style="19"/>
    <col min="6671" max="6671" width="9.08984375" style="19" customWidth="1"/>
    <col min="6672" max="6672" width="11.453125" style="19"/>
    <col min="6673" max="6673" width="12.6328125" style="19" customWidth="1"/>
    <col min="6674" max="6912" width="11.453125" style="19"/>
    <col min="6913" max="6913" width="21" style="19" customWidth="1"/>
    <col min="6914" max="6914" width="10.08984375" style="19" customWidth="1"/>
    <col min="6915" max="6915" width="3.26953125" style="19" customWidth="1"/>
    <col min="6916" max="6916" width="10.36328125" style="19" customWidth="1"/>
    <col min="6917" max="6917" width="10.26953125" style="19" customWidth="1"/>
    <col min="6918" max="6918" width="11.6328125" style="19" customWidth="1"/>
    <col min="6919" max="6919" width="10.36328125" style="19" customWidth="1"/>
    <col min="6920" max="6920" width="11.54296875" style="19" customWidth="1"/>
    <col min="6921" max="6922" width="15.08984375" style="19" customWidth="1"/>
    <col min="6923" max="6923" width="6.1796875" style="19" customWidth="1"/>
    <col min="6924" max="6926" width="11.453125" style="19"/>
    <col min="6927" max="6927" width="9.08984375" style="19" customWidth="1"/>
    <col min="6928" max="6928" width="11.453125" style="19"/>
    <col min="6929" max="6929" width="12.6328125" style="19" customWidth="1"/>
    <col min="6930" max="7168" width="11.453125" style="19"/>
    <col min="7169" max="7169" width="21" style="19" customWidth="1"/>
    <col min="7170" max="7170" width="10.08984375" style="19" customWidth="1"/>
    <col min="7171" max="7171" width="3.26953125" style="19" customWidth="1"/>
    <col min="7172" max="7172" width="10.36328125" style="19" customWidth="1"/>
    <col min="7173" max="7173" width="10.26953125" style="19" customWidth="1"/>
    <col min="7174" max="7174" width="11.6328125" style="19" customWidth="1"/>
    <col min="7175" max="7175" width="10.36328125" style="19" customWidth="1"/>
    <col min="7176" max="7176" width="11.54296875" style="19" customWidth="1"/>
    <col min="7177" max="7178" width="15.08984375" style="19" customWidth="1"/>
    <col min="7179" max="7179" width="6.1796875" style="19" customWidth="1"/>
    <col min="7180" max="7182" width="11.453125" style="19"/>
    <col min="7183" max="7183" width="9.08984375" style="19" customWidth="1"/>
    <col min="7184" max="7184" width="11.453125" style="19"/>
    <col min="7185" max="7185" width="12.6328125" style="19" customWidth="1"/>
    <col min="7186" max="7424" width="11.453125" style="19"/>
    <col min="7425" max="7425" width="21" style="19" customWidth="1"/>
    <col min="7426" max="7426" width="10.08984375" style="19" customWidth="1"/>
    <col min="7427" max="7427" width="3.26953125" style="19" customWidth="1"/>
    <col min="7428" max="7428" width="10.36328125" style="19" customWidth="1"/>
    <col min="7429" max="7429" width="10.26953125" style="19" customWidth="1"/>
    <col min="7430" max="7430" width="11.6328125" style="19" customWidth="1"/>
    <col min="7431" max="7431" width="10.36328125" style="19" customWidth="1"/>
    <col min="7432" max="7432" width="11.54296875" style="19" customWidth="1"/>
    <col min="7433" max="7434" width="15.08984375" style="19" customWidth="1"/>
    <col min="7435" max="7435" width="6.1796875" style="19" customWidth="1"/>
    <col min="7436" max="7438" width="11.453125" style="19"/>
    <col min="7439" max="7439" width="9.08984375" style="19" customWidth="1"/>
    <col min="7440" max="7440" width="11.453125" style="19"/>
    <col min="7441" max="7441" width="12.6328125" style="19" customWidth="1"/>
    <col min="7442" max="7680" width="11.453125" style="19"/>
    <col min="7681" max="7681" width="21" style="19" customWidth="1"/>
    <col min="7682" max="7682" width="10.08984375" style="19" customWidth="1"/>
    <col min="7683" max="7683" width="3.26953125" style="19" customWidth="1"/>
    <col min="7684" max="7684" width="10.36328125" style="19" customWidth="1"/>
    <col min="7685" max="7685" width="10.26953125" style="19" customWidth="1"/>
    <col min="7686" max="7686" width="11.6328125" style="19" customWidth="1"/>
    <col min="7687" max="7687" width="10.36328125" style="19" customWidth="1"/>
    <col min="7688" max="7688" width="11.54296875" style="19" customWidth="1"/>
    <col min="7689" max="7690" width="15.08984375" style="19" customWidth="1"/>
    <col min="7691" max="7691" width="6.1796875" style="19" customWidth="1"/>
    <col min="7692" max="7694" width="11.453125" style="19"/>
    <col min="7695" max="7695" width="9.08984375" style="19" customWidth="1"/>
    <col min="7696" max="7696" width="11.453125" style="19"/>
    <col min="7697" max="7697" width="12.6328125" style="19" customWidth="1"/>
    <col min="7698" max="7936" width="11.453125" style="19"/>
    <col min="7937" max="7937" width="21" style="19" customWidth="1"/>
    <col min="7938" max="7938" width="10.08984375" style="19" customWidth="1"/>
    <col min="7939" max="7939" width="3.26953125" style="19" customWidth="1"/>
    <col min="7940" max="7940" width="10.36328125" style="19" customWidth="1"/>
    <col min="7941" max="7941" width="10.26953125" style="19" customWidth="1"/>
    <col min="7942" max="7942" width="11.6328125" style="19" customWidth="1"/>
    <col min="7943" max="7943" width="10.36328125" style="19" customWidth="1"/>
    <col min="7944" max="7944" width="11.54296875" style="19" customWidth="1"/>
    <col min="7945" max="7946" width="15.08984375" style="19" customWidth="1"/>
    <col min="7947" max="7947" width="6.1796875" style="19" customWidth="1"/>
    <col min="7948" max="7950" width="11.453125" style="19"/>
    <col min="7951" max="7951" width="9.08984375" style="19" customWidth="1"/>
    <col min="7952" max="7952" width="11.453125" style="19"/>
    <col min="7953" max="7953" width="12.6328125" style="19" customWidth="1"/>
    <col min="7954" max="8192" width="11.453125" style="19"/>
    <col min="8193" max="8193" width="21" style="19" customWidth="1"/>
    <col min="8194" max="8194" width="10.08984375" style="19" customWidth="1"/>
    <col min="8195" max="8195" width="3.26953125" style="19" customWidth="1"/>
    <col min="8196" max="8196" width="10.36328125" style="19" customWidth="1"/>
    <col min="8197" max="8197" width="10.26953125" style="19" customWidth="1"/>
    <col min="8198" max="8198" width="11.6328125" style="19" customWidth="1"/>
    <col min="8199" max="8199" width="10.36328125" style="19" customWidth="1"/>
    <col min="8200" max="8200" width="11.54296875" style="19" customWidth="1"/>
    <col min="8201" max="8202" width="15.08984375" style="19" customWidth="1"/>
    <col min="8203" max="8203" width="6.1796875" style="19" customWidth="1"/>
    <col min="8204" max="8206" width="11.453125" style="19"/>
    <col min="8207" max="8207" width="9.08984375" style="19" customWidth="1"/>
    <col min="8208" max="8208" width="11.453125" style="19"/>
    <col min="8209" max="8209" width="12.6328125" style="19" customWidth="1"/>
    <col min="8210" max="8448" width="11.453125" style="19"/>
    <col min="8449" max="8449" width="21" style="19" customWidth="1"/>
    <col min="8450" max="8450" width="10.08984375" style="19" customWidth="1"/>
    <col min="8451" max="8451" width="3.26953125" style="19" customWidth="1"/>
    <col min="8452" max="8452" width="10.36328125" style="19" customWidth="1"/>
    <col min="8453" max="8453" width="10.26953125" style="19" customWidth="1"/>
    <col min="8454" max="8454" width="11.6328125" style="19" customWidth="1"/>
    <col min="8455" max="8455" width="10.36328125" style="19" customWidth="1"/>
    <col min="8456" max="8456" width="11.54296875" style="19" customWidth="1"/>
    <col min="8457" max="8458" width="15.08984375" style="19" customWidth="1"/>
    <col min="8459" max="8459" width="6.1796875" style="19" customWidth="1"/>
    <col min="8460" max="8462" width="11.453125" style="19"/>
    <col min="8463" max="8463" width="9.08984375" style="19" customWidth="1"/>
    <col min="8464" max="8464" width="11.453125" style="19"/>
    <col min="8465" max="8465" width="12.6328125" style="19" customWidth="1"/>
    <col min="8466" max="8704" width="11.453125" style="19"/>
    <col min="8705" max="8705" width="21" style="19" customWidth="1"/>
    <col min="8706" max="8706" width="10.08984375" style="19" customWidth="1"/>
    <col min="8707" max="8707" width="3.26953125" style="19" customWidth="1"/>
    <col min="8708" max="8708" width="10.36328125" style="19" customWidth="1"/>
    <col min="8709" max="8709" width="10.26953125" style="19" customWidth="1"/>
    <col min="8710" max="8710" width="11.6328125" style="19" customWidth="1"/>
    <col min="8711" max="8711" width="10.36328125" style="19" customWidth="1"/>
    <col min="8712" max="8712" width="11.54296875" style="19" customWidth="1"/>
    <col min="8713" max="8714" width="15.08984375" style="19" customWidth="1"/>
    <col min="8715" max="8715" width="6.1796875" style="19" customWidth="1"/>
    <col min="8716" max="8718" width="11.453125" style="19"/>
    <col min="8719" max="8719" width="9.08984375" style="19" customWidth="1"/>
    <col min="8720" max="8720" width="11.453125" style="19"/>
    <col min="8721" max="8721" width="12.6328125" style="19" customWidth="1"/>
    <col min="8722" max="8960" width="11.453125" style="19"/>
    <col min="8961" max="8961" width="21" style="19" customWidth="1"/>
    <col min="8962" max="8962" width="10.08984375" style="19" customWidth="1"/>
    <col min="8963" max="8963" width="3.26953125" style="19" customWidth="1"/>
    <col min="8964" max="8964" width="10.36328125" style="19" customWidth="1"/>
    <col min="8965" max="8965" width="10.26953125" style="19" customWidth="1"/>
    <col min="8966" max="8966" width="11.6328125" style="19" customWidth="1"/>
    <col min="8967" max="8967" width="10.36328125" style="19" customWidth="1"/>
    <col min="8968" max="8968" width="11.54296875" style="19" customWidth="1"/>
    <col min="8969" max="8970" width="15.08984375" style="19" customWidth="1"/>
    <col min="8971" max="8971" width="6.1796875" style="19" customWidth="1"/>
    <col min="8972" max="8974" width="11.453125" style="19"/>
    <col min="8975" max="8975" width="9.08984375" style="19" customWidth="1"/>
    <col min="8976" max="8976" width="11.453125" style="19"/>
    <col min="8977" max="8977" width="12.6328125" style="19" customWidth="1"/>
    <col min="8978" max="9216" width="11.453125" style="19"/>
    <col min="9217" max="9217" width="21" style="19" customWidth="1"/>
    <col min="9218" max="9218" width="10.08984375" style="19" customWidth="1"/>
    <col min="9219" max="9219" width="3.26953125" style="19" customWidth="1"/>
    <col min="9220" max="9220" width="10.36328125" style="19" customWidth="1"/>
    <col min="9221" max="9221" width="10.26953125" style="19" customWidth="1"/>
    <col min="9222" max="9222" width="11.6328125" style="19" customWidth="1"/>
    <col min="9223" max="9223" width="10.36328125" style="19" customWidth="1"/>
    <col min="9224" max="9224" width="11.54296875" style="19" customWidth="1"/>
    <col min="9225" max="9226" width="15.08984375" style="19" customWidth="1"/>
    <col min="9227" max="9227" width="6.1796875" style="19" customWidth="1"/>
    <col min="9228" max="9230" width="11.453125" style="19"/>
    <col min="9231" max="9231" width="9.08984375" style="19" customWidth="1"/>
    <col min="9232" max="9232" width="11.453125" style="19"/>
    <col min="9233" max="9233" width="12.6328125" style="19" customWidth="1"/>
    <col min="9234" max="9472" width="11.453125" style="19"/>
    <col min="9473" max="9473" width="21" style="19" customWidth="1"/>
    <col min="9474" max="9474" width="10.08984375" style="19" customWidth="1"/>
    <col min="9475" max="9475" width="3.26953125" style="19" customWidth="1"/>
    <col min="9476" max="9476" width="10.36328125" style="19" customWidth="1"/>
    <col min="9477" max="9477" width="10.26953125" style="19" customWidth="1"/>
    <col min="9478" max="9478" width="11.6328125" style="19" customWidth="1"/>
    <col min="9479" max="9479" width="10.36328125" style="19" customWidth="1"/>
    <col min="9480" max="9480" width="11.54296875" style="19" customWidth="1"/>
    <col min="9481" max="9482" width="15.08984375" style="19" customWidth="1"/>
    <col min="9483" max="9483" width="6.1796875" style="19" customWidth="1"/>
    <col min="9484" max="9486" width="11.453125" style="19"/>
    <col min="9487" max="9487" width="9.08984375" style="19" customWidth="1"/>
    <col min="9488" max="9488" width="11.453125" style="19"/>
    <col min="9489" max="9489" width="12.6328125" style="19" customWidth="1"/>
    <col min="9490" max="9728" width="11.453125" style="19"/>
    <col min="9729" max="9729" width="21" style="19" customWidth="1"/>
    <col min="9730" max="9730" width="10.08984375" style="19" customWidth="1"/>
    <col min="9731" max="9731" width="3.26953125" style="19" customWidth="1"/>
    <col min="9732" max="9732" width="10.36328125" style="19" customWidth="1"/>
    <col min="9733" max="9733" width="10.26953125" style="19" customWidth="1"/>
    <col min="9734" max="9734" width="11.6328125" style="19" customWidth="1"/>
    <col min="9735" max="9735" width="10.36328125" style="19" customWidth="1"/>
    <col min="9736" max="9736" width="11.54296875" style="19" customWidth="1"/>
    <col min="9737" max="9738" width="15.08984375" style="19" customWidth="1"/>
    <col min="9739" max="9739" width="6.1796875" style="19" customWidth="1"/>
    <col min="9740" max="9742" width="11.453125" style="19"/>
    <col min="9743" max="9743" width="9.08984375" style="19" customWidth="1"/>
    <col min="9744" max="9744" width="11.453125" style="19"/>
    <col min="9745" max="9745" width="12.6328125" style="19" customWidth="1"/>
    <col min="9746" max="9984" width="11.453125" style="19"/>
    <col min="9985" max="9985" width="21" style="19" customWidth="1"/>
    <col min="9986" max="9986" width="10.08984375" style="19" customWidth="1"/>
    <col min="9987" max="9987" width="3.26953125" style="19" customWidth="1"/>
    <col min="9988" max="9988" width="10.36328125" style="19" customWidth="1"/>
    <col min="9989" max="9989" width="10.26953125" style="19" customWidth="1"/>
    <col min="9990" max="9990" width="11.6328125" style="19" customWidth="1"/>
    <col min="9991" max="9991" width="10.36328125" style="19" customWidth="1"/>
    <col min="9992" max="9992" width="11.54296875" style="19" customWidth="1"/>
    <col min="9993" max="9994" width="15.08984375" style="19" customWidth="1"/>
    <col min="9995" max="9995" width="6.1796875" style="19" customWidth="1"/>
    <col min="9996" max="9998" width="11.453125" style="19"/>
    <col min="9999" max="9999" width="9.08984375" style="19" customWidth="1"/>
    <col min="10000" max="10000" width="11.453125" style="19"/>
    <col min="10001" max="10001" width="12.6328125" style="19" customWidth="1"/>
    <col min="10002" max="10240" width="11.453125" style="19"/>
    <col min="10241" max="10241" width="21" style="19" customWidth="1"/>
    <col min="10242" max="10242" width="10.08984375" style="19" customWidth="1"/>
    <col min="10243" max="10243" width="3.26953125" style="19" customWidth="1"/>
    <col min="10244" max="10244" width="10.36328125" style="19" customWidth="1"/>
    <col min="10245" max="10245" width="10.26953125" style="19" customWidth="1"/>
    <col min="10246" max="10246" width="11.6328125" style="19" customWidth="1"/>
    <col min="10247" max="10247" width="10.36328125" style="19" customWidth="1"/>
    <col min="10248" max="10248" width="11.54296875" style="19" customWidth="1"/>
    <col min="10249" max="10250" width="15.08984375" style="19" customWidth="1"/>
    <col min="10251" max="10251" width="6.1796875" style="19" customWidth="1"/>
    <col min="10252" max="10254" width="11.453125" style="19"/>
    <col min="10255" max="10255" width="9.08984375" style="19" customWidth="1"/>
    <col min="10256" max="10256" width="11.453125" style="19"/>
    <col min="10257" max="10257" width="12.6328125" style="19" customWidth="1"/>
    <col min="10258" max="10496" width="11.453125" style="19"/>
    <col min="10497" max="10497" width="21" style="19" customWidth="1"/>
    <col min="10498" max="10498" width="10.08984375" style="19" customWidth="1"/>
    <col min="10499" max="10499" width="3.26953125" style="19" customWidth="1"/>
    <col min="10500" max="10500" width="10.36328125" style="19" customWidth="1"/>
    <col min="10501" max="10501" width="10.26953125" style="19" customWidth="1"/>
    <col min="10502" max="10502" width="11.6328125" style="19" customWidth="1"/>
    <col min="10503" max="10503" width="10.36328125" style="19" customWidth="1"/>
    <col min="10504" max="10504" width="11.54296875" style="19" customWidth="1"/>
    <col min="10505" max="10506" width="15.08984375" style="19" customWidth="1"/>
    <col min="10507" max="10507" width="6.1796875" style="19" customWidth="1"/>
    <col min="10508" max="10510" width="11.453125" style="19"/>
    <col min="10511" max="10511" width="9.08984375" style="19" customWidth="1"/>
    <col min="10512" max="10512" width="11.453125" style="19"/>
    <col min="10513" max="10513" width="12.6328125" style="19" customWidth="1"/>
    <col min="10514" max="10752" width="11.453125" style="19"/>
    <col min="10753" max="10753" width="21" style="19" customWidth="1"/>
    <col min="10754" max="10754" width="10.08984375" style="19" customWidth="1"/>
    <col min="10755" max="10755" width="3.26953125" style="19" customWidth="1"/>
    <col min="10756" max="10756" width="10.36328125" style="19" customWidth="1"/>
    <col min="10757" max="10757" width="10.26953125" style="19" customWidth="1"/>
    <col min="10758" max="10758" width="11.6328125" style="19" customWidth="1"/>
    <col min="10759" max="10759" width="10.36328125" style="19" customWidth="1"/>
    <col min="10760" max="10760" width="11.54296875" style="19" customWidth="1"/>
    <col min="10761" max="10762" width="15.08984375" style="19" customWidth="1"/>
    <col min="10763" max="10763" width="6.1796875" style="19" customWidth="1"/>
    <col min="10764" max="10766" width="11.453125" style="19"/>
    <col min="10767" max="10767" width="9.08984375" style="19" customWidth="1"/>
    <col min="10768" max="10768" width="11.453125" style="19"/>
    <col min="10769" max="10769" width="12.6328125" style="19" customWidth="1"/>
    <col min="10770" max="11008" width="11.453125" style="19"/>
    <col min="11009" max="11009" width="21" style="19" customWidth="1"/>
    <col min="11010" max="11010" width="10.08984375" style="19" customWidth="1"/>
    <col min="11011" max="11011" width="3.26953125" style="19" customWidth="1"/>
    <col min="11012" max="11012" width="10.36328125" style="19" customWidth="1"/>
    <col min="11013" max="11013" width="10.26953125" style="19" customWidth="1"/>
    <col min="11014" max="11014" width="11.6328125" style="19" customWidth="1"/>
    <col min="11015" max="11015" width="10.36328125" style="19" customWidth="1"/>
    <col min="11016" max="11016" width="11.54296875" style="19" customWidth="1"/>
    <col min="11017" max="11018" width="15.08984375" style="19" customWidth="1"/>
    <col min="11019" max="11019" width="6.1796875" style="19" customWidth="1"/>
    <col min="11020" max="11022" width="11.453125" style="19"/>
    <col min="11023" max="11023" width="9.08984375" style="19" customWidth="1"/>
    <col min="11024" max="11024" width="11.453125" style="19"/>
    <col min="11025" max="11025" width="12.6328125" style="19" customWidth="1"/>
    <col min="11026" max="11264" width="11.453125" style="19"/>
    <col min="11265" max="11265" width="21" style="19" customWidth="1"/>
    <col min="11266" max="11266" width="10.08984375" style="19" customWidth="1"/>
    <col min="11267" max="11267" width="3.26953125" style="19" customWidth="1"/>
    <col min="11268" max="11268" width="10.36328125" style="19" customWidth="1"/>
    <col min="11269" max="11269" width="10.26953125" style="19" customWidth="1"/>
    <col min="11270" max="11270" width="11.6328125" style="19" customWidth="1"/>
    <col min="11271" max="11271" width="10.36328125" style="19" customWidth="1"/>
    <col min="11272" max="11272" width="11.54296875" style="19" customWidth="1"/>
    <col min="11273" max="11274" width="15.08984375" style="19" customWidth="1"/>
    <col min="11275" max="11275" width="6.1796875" style="19" customWidth="1"/>
    <col min="11276" max="11278" width="11.453125" style="19"/>
    <col min="11279" max="11279" width="9.08984375" style="19" customWidth="1"/>
    <col min="11280" max="11280" width="11.453125" style="19"/>
    <col min="11281" max="11281" width="12.6328125" style="19" customWidth="1"/>
    <col min="11282" max="11520" width="11.453125" style="19"/>
    <col min="11521" max="11521" width="21" style="19" customWidth="1"/>
    <col min="11522" max="11522" width="10.08984375" style="19" customWidth="1"/>
    <col min="11523" max="11523" width="3.26953125" style="19" customWidth="1"/>
    <col min="11524" max="11524" width="10.36328125" style="19" customWidth="1"/>
    <col min="11525" max="11525" width="10.26953125" style="19" customWidth="1"/>
    <col min="11526" max="11526" width="11.6328125" style="19" customWidth="1"/>
    <col min="11527" max="11527" width="10.36328125" style="19" customWidth="1"/>
    <col min="11528" max="11528" width="11.54296875" style="19" customWidth="1"/>
    <col min="11529" max="11530" width="15.08984375" style="19" customWidth="1"/>
    <col min="11531" max="11531" width="6.1796875" style="19" customWidth="1"/>
    <col min="11532" max="11534" width="11.453125" style="19"/>
    <col min="11535" max="11535" width="9.08984375" style="19" customWidth="1"/>
    <col min="11536" max="11536" width="11.453125" style="19"/>
    <col min="11537" max="11537" width="12.6328125" style="19" customWidth="1"/>
    <col min="11538" max="11776" width="11.453125" style="19"/>
    <col min="11777" max="11777" width="21" style="19" customWidth="1"/>
    <col min="11778" max="11778" width="10.08984375" style="19" customWidth="1"/>
    <col min="11779" max="11779" width="3.26953125" style="19" customWidth="1"/>
    <col min="11780" max="11780" width="10.36328125" style="19" customWidth="1"/>
    <col min="11781" max="11781" width="10.26953125" style="19" customWidth="1"/>
    <col min="11782" max="11782" width="11.6328125" style="19" customWidth="1"/>
    <col min="11783" max="11783" width="10.36328125" style="19" customWidth="1"/>
    <col min="11784" max="11784" width="11.54296875" style="19" customWidth="1"/>
    <col min="11785" max="11786" width="15.08984375" style="19" customWidth="1"/>
    <col min="11787" max="11787" width="6.1796875" style="19" customWidth="1"/>
    <col min="11788" max="11790" width="11.453125" style="19"/>
    <col min="11791" max="11791" width="9.08984375" style="19" customWidth="1"/>
    <col min="11792" max="11792" width="11.453125" style="19"/>
    <col min="11793" max="11793" width="12.6328125" style="19" customWidth="1"/>
    <col min="11794" max="12032" width="11.453125" style="19"/>
    <col min="12033" max="12033" width="21" style="19" customWidth="1"/>
    <col min="12034" max="12034" width="10.08984375" style="19" customWidth="1"/>
    <col min="12035" max="12035" width="3.26953125" style="19" customWidth="1"/>
    <col min="12036" max="12036" width="10.36328125" style="19" customWidth="1"/>
    <col min="12037" max="12037" width="10.26953125" style="19" customWidth="1"/>
    <col min="12038" max="12038" width="11.6328125" style="19" customWidth="1"/>
    <col min="12039" max="12039" width="10.36328125" style="19" customWidth="1"/>
    <col min="12040" max="12040" width="11.54296875" style="19" customWidth="1"/>
    <col min="12041" max="12042" width="15.08984375" style="19" customWidth="1"/>
    <col min="12043" max="12043" width="6.1796875" style="19" customWidth="1"/>
    <col min="12044" max="12046" width="11.453125" style="19"/>
    <col min="12047" max="12047" width="9.08984375" style="19" customWidth="1"/>
    <col min="12048" max="12048" width="11.453125" style="19"/>
    <col min="12049" max="12049" width="12.6328125" style="19" customWidth="1"/>
    <col min="12050" max="12288" width="11.453125" style="19"/>
    <col min="12289" max="12289" width="21" style="19" customWidth="1"/>
    <col min="12290" max="12290" width="10.08984375" style="19" customWidth="1"/>
    <col min="12291" max="12291" width="3.26953125" style="19" customWidth="1"/>
    <col min="12292" max="12292" width="10.36328125" style="19" customWidth="1"/>
    <col min="12293" max="12293" width="10.26953125" style="19" customWidth="1"/>
    <col min="12294" max="12294" width="11.6328125" style="19" customWidth="1"/>
    <col min="12295" max="12295" width="10.36328125" style="19" customWidth="1"/>
    <col min="12296" max="12296" width="11.54296875" style="19" customWidth="1"/>
    <col min="12297" max="12298" width="15.08984375" style="19" customWidth="1"/>
    <col min="12299" max="12299" width="6.1796875" style="19" customWidth="1"/>
    <col min="12300" max="12302" width="11.453125" style="19"/>
    <col min="12303" max="12303" width="9.08984375" style="19" customWidth="1"/>
    <col min="12304" max="12304" width="11.453125" style="19"/>
    <col min="12305" max="12305" width="12.6328125" style="19" customWidth="1"/>
    <col min="12306" max="12544" width="11.453125" style="19"/>
    <col min="12545" max="12545" width="21" style="19" customWidth="1"/>
    <col min="12546" max="12546" width="10.08984375" style="19" customWidth="1"/>
    <col min="12547" max="12547" width="3.26953125" style="19" customWidth="1"/>
    <col min="12548" max="12548" width="10.36328125" style="19" customWidth="1"/>
    <col min="12549" max="12549" width="10.26953125" style="19" customWidth="1"/>
    <col min="12550" max="12550" width="11.6328125" style="19" customWidth="1"/>
    <col min="12551" max="12551" width="10.36328125" style="19" customWidth="1"/>
    <col min="12552" max="12552" width="11.54296875" style="19" customWidth="1"/>
    <col min="12553" max="12554" width="15.08984375" style="19" customWidth="1"/>
    <col min="12555" max="12555" width="6.1796875" style="19" customWidth="1"/>
    <col min="12556" max="12558" width="11.453125" style="19"/>
    <col min="12559" max="12559" width="9.08984375" style="19" customWidth="1"/>
    <col min="12560" max="12560" width="11.453125" style="19"/>
    <col min="12561" max="12561" width="12.6328125" style="19" customWidth="1"/>
    <col min="12562" max="12800" width="11.453125" style="19"/>
    <col min="12801" max="12801" width="21" style="19" customWidth="1"/>
    <col min="12802" max="12802" width="10.08984375" style="19" customWidth="1"/>
    <col min="12803" max="12803" width="3.26953125" style="19" customWidth="1"/>
    <col min="12804" max="12804" width="10.36328125" style="19" customWidth="1"/>
    <col min="12805" max="12805" width="10.26953125" style="19" customWidth="1"/>
    <col min="12806" max="12806" width="11.6328125" style="19" customWidth="1"/>
    <col min="12807" max="12807" width="10.36328125" style="19" customWidth="1"/>
    <col min="12808" max="12808" width="11.54296875" style="19" customWidth="1"/>
    <col min="12809" max="12810" width="15.08984375" style="19" customWidth="1"/>
    <col min="12811" max="12811" width="6.1796875" style="19" customWidth="1"/>
    <col min="12812" max="12814" width="11.453125" style="19"/>
    <col min="12815" max="12815" width="9.08984375" style="19" customWidth="1"/>
    <col min="12816" max="12816" width="11.453125" style="19"/>
    <col min="12817" max="12817" width="12.6328125" style="19" customWidth="1"/>
    <col min="12818" max="13056" width="11.453125" style="19"/>
    <col min="13057" max="13057" width="21" style="19" customWidth="1"/>
    <col min="13058" max="13058" width="10.08984375" style="19" customWidth="1"/>
    <col min="13059" max="13059" width="3.26953125" style="19" customWidth="1"/>
    <col min="13060" max="13060" width="10.36328125" style="19" customWidth="1"/>
    <col min="13061" max="13061" width="10.26953125" style="19" customWidth="1"/>
    <col min="13062" max="13062" width="11.6328125" style="19" customWidth="1"/>
    <col min="13063" max="13063" width="10.36328125" style="19" customWidth="1"/>
    <col min="13064" max="13064" width="11.54296875" style="19" customWidth="1"/>
    <col min="13065" max="13066" width="15.08984375" style="19" customWidth="1"/>
    <col min="13067" max="13067" width="6.1796875" style="19" customWidth="1"/>
    <col min="13068" max="13070" width="11.453125" style="19"/>
    <col min="13071" max="13071" width="9.08984375" style="19" customWidth="1"/>
    <col min="13072" max="13072" width="11.453125" style="19"/>
    <col min="13073" max="13073" width="12.6328125" style="19" customWidth="1"/>
    <col min="13074" max="13312" width="11.453125" style="19"/>
    <col min="13313" max="13313" width="21" style="19" customWidth="1"/>
    <col min="13314" max="13314" width="10.08984375" style="19" customWidth="1"/>
    <col min="13315" max="13315" width="3.26953125" style="19" customWidth="1"/>
    <col min="13316" max="13316" width="10.36328125" style="19" customWidth="1"/>
    <col min="13317" max="13317" width="10.26953125" style="19" customWidth="1"/>
    <col min="13318" max="13318" width="11.6328125" style="19" customWidth="1"/>
    <col min="13319" max="13319" width="10.36328125" style="19" customWidth="1"/>
    <col min="13320" max="13320" width="11.54296875" style="19" customWidth="1"/>
    <col min="13321" max="13322" width="15.08984375" style="19" customWidth="1"/>
    <col min="13323" max="13323" width="6.1796875" style="19" customWidth="1"/>
    <col min="13324" max="13326" width="11.453125" style="19"/>
    <col min="13327" max="13327" width="9.08984375" style="19" customWidth="1"/>
    <col min="13328" max="13328" width="11.453125" style="19"/>
    <col min="13329" max="13329" width="12.6328125" style="19" customWidth="1"/>
    <col min="13330" max="13568" width="11.453125" style="19"/>
    <col min="13569" max="13569" width="21" style="19" customWidth="1"/>
    <col min="13570" max="13570" width="10.08984375" style="19" customWidth="1"/>
    <col min="13571" max="13571" width="3.26953125" style="19" customWidth="1"/>
    <col min="13572" max="13572" width="10.36328125" style="19" customWidth="1"/>
    <col min="13573" max="13573" width="10.26953125" style="19" customWidth="1"/>
    <col min="13574" max="13574" width="11.6328125" style="19" customWidth="1"/>
    <col min="13575" max="13575" width="10.36328125" style="19" customWidth="1"/>
    <col min="13576" max="13576" width="11.54296875" style="19" customWidth="1"/>
    <col min="13577" max="13578" width="15.08984375" style="19" customWidth="1"/>
    <col min="13579" max="13579" width="6.1796875" style="19" customWidth="1"/>
    <col min="13580" max="13582" width="11.453125" style="19"/>
    <col min="13583" max="13583" width="9.08984375" style="19" customWidth="1"/>
    <col min="13584" max="13584" width="11.453125" style="19"/>
    <col min="13585" max="13585" width="12.6328125" style="19" customWidth="1"/>
    <col min="13586" max="13824" width="11.453125" style="19"/>
    <col min="13825" max="13825" width="21" style="19" customWidth="1"/>
    <col min="13826" max="13826" width="10.08984375" style="19" customWidth="1"/>
    <col min="13827" max="13827" width="3.26953125" style="19" customWidth="1"/>
    <col min="13828" max="13828" width="10.36328125" style="19" customWidth="1"/>
    <col min="13829" max="13829" width="10.26953125" style="19" customWidth="1"/>
    <col min="13830" max="13830" width="11.6328125" style="19" customWidth="1"/>
    <col min="13831" max="13831" width="10.36328125" style="19" customWidth="1"/>
    <col min="13832" max="13832" width="11.54296875" style="19" customWidth="1"/>
    <col min="13833" max="13834" width="15.08984375" style="19" customWidth="1"/>
    <col min="13835" max="13835" width="6.1796875" style="19" customWidth="1"/>
    <col min="13836" max="13838" width="11.453125" style="19"/>
    <col min="13839" max="13839" width="9.08984375" style="19" customWidth="1"/>
    <col min="13840" max="13840" width="11.453125" style="19"/>
    <col min="13841" max="13841" width="12.6328125" style="19" customWidth="1"/>
    <col min="13842" max="14080" width="11.453125" style="19"/>
    <col min="14081" max="14081" width="21" style="19" customWidth="1"/>
    <col min="14082" max="14082" width="10.08984375" style="19" customWidth="1"/>
    <col min="14083" max="14083" width="3.26953125" style="19" customWidth="1"/>
    <col min="14084" max="14084" width="10.36328125" style="19" customWidth="1"/>
    <col min="14085" max="14085" width="10.26953125" style="19" customWidth="1"/>
    <col min="14086" max="14086" width="11.6328125" style="19" customWidth="1"/>
    <col min="14087" max="14087" width="10.36328125" style="19" customWidth="1"/>
    <col min="14088" max="14088" width="11.54296875" style="19" customWidth="1"/>
    <col min="14089" max="14090" width="15.08984375" style="19" customWidth="1"/>
    <col min="14091" max="14091" width="6.1796875" style="19" customWidth="1"/>
    <col min="14092" max="14094" width="11.453125" style="19"/>
    <col min="14095" max="14095" width="9.08984375" style="19" customWidth="1"/>
    <col min="14096" max="14096" width="11.453125" style="19"/>
    <col min="14097" max="14097" width="12.6328125" style="19" customWidth="1"/>
    <col min="14098" max="14336" width="11.453125" style="19"/>
    <col min="14337" max="14337" width="21" style="19" customWidth="1"/>
    <col min="14338" max="14338" width="10.08984375" style="19" customWidth="1"/>
    <col min="14339" max="14339" width="3.26953125" style="19" customWidth="1"/>
    <col min="14340" max="14340" width="10.36328125" style="19" customWidth="1"/>
    <col min="14341" max="14341" width="10.26953125" style="19" customWidth="1"/>
    <col min="14342" max="14342" width="11.6328125" style="19" customWidth="1"/>
    <col min="14343" max="14343" width="10.36328125" style="19" customWidth="1"/>
    <col min="14344" max="14344" width="11.54296875" style="19" customWidth="1"/>
    <col min="14345" max="14346" width="15.08984375" style="19" customWidth="1"/>
    <col min="14347" max="14347" width="6.1796875" style="19" customWidth="1"/>
    <col min="14348" max="14350" width="11.453125" style="19"/>
    <col min="14351" max="14351" width="9.08984375" style="19" customWidth="1"/>
    <col min="14352" max="14352" width="11.453125" style="19"/>
    <col min="14353" max="14353" width="12.6328125" style="19" customWidth="1"/>
    <col min="14354" max="14592" width="11.453125" style="19"/>
    <col min="14593" max="14593" width="21" style="19" customWidth="1"/>
    <col min="14594" max="14594" width="10.08984375" style="19" customWidth="1"/>
    <col min="14595" max="14595" width="3.26953125" style="19" customWidth="1"/>
    <col min="14596" max="14596" width="10.36328125" style="19" customWidth="1"/>
    <col min="14597" max="14597" width="10.26953125" style="19" customWidth="1"/>
    <col min="14598" max="14598" width="11.6328125" style="19" customWidth="1"/>
    <col min="14599" max="14599" width="10.36328125" style="19" customWidth="1"/>
    <col min="14600" max="14600" width="11.54296875" style="19" customWidth="1"/>
    <col min="14601" max="14602" width="15.08984375" style="19" customWidth="1"/>
    <col min="14603" max="14603" width="6.1796875" style="19" customWidth="1"/>
    <col min="14604" max="14606" width="11.453125" style="19"/>
    <col min="14607" max="14607" width="9.08984375" style="19" customWidth="1"/>
    <col min="14608" max="14608" width="11.453125" style="19"/>
    <col min="14609" max="14609" width="12.6328125" style="19" customWidth="1"/>
    <col min="14610" max="14848" width="11.453125" style="19"/>
    <col min="14849" max="14849" width="21" style="19" customWidth="1"/>
    <col min="14850" max="14850" width="10.08984375" style="19" customWidth="1"/>
    <col min="14851" max="14851" width="3.26953125" style="19" customWidth="1"/>
    <col min="14852" max="14852" width="10.36328125" style="19" customWidth="1"/>
    <col min="14853" max="14853" width="10.26953125" style="19" customWidth="1"/>
    <col min="14854" max="14854" width="11.6328125" style="19" customWidth="1"/>
    <col min="14855" max="14855" width="10.36328125" style="19" customWidth="1"/>
    <col min="14856" max="14856" width="11.54296875" style="19" customWidth="1"/>
    <col min="14857" max="14858" width="15.08984375" style="19" customWidth="1"/>
    <col min="14859" max="14859" width="6.1796875" style="19" customWidth="1"/>
    <col min="14860" max="14862" width="11.453125" style="19"/>
    <col min="14863" max="14863" width="9.08984375" style="19" customWidth="1"/>
    <col min="14864" max="14864" width="11.453125" style="19"/>
    <col min="14865" max="14865" width="12.6328125" style="19" customWidth="1"/>
    <col min="14866" max="15104" width="11.453125" style="19"/>
    <col min="15105" max="15105" width="21" style="19" customWidth="1"/>
    <col min="15106" max="15106" width="10.08984375" style="19" customWidth="1"/>
    <col min="15107" max="15107" width="3.26953125" style="19" customWidth="1"/>
    <col min="15108" max="15108" width="10.36328125" style="19" customWidth="1"/>
    <col min="15109" max="15109" width="10.26953125" style="19" customWidth="1"/>
    <col min="15110" max="15110" width="11.6328125" style="19" customWidth="1"/>
    <col min="15111" max="15111" width="10.36328125" style="19" customWidth="1"/>
    <col min="15112" max="15112" width="11.54296875" style="19" customWidth="1"/>
    <col min="15113" max="15114" width="15.08984375" style="19" customWidth="1"/>
    <col min="15115" max="15115" width="6.1796875" style="19" customWidth="1"/>
    <col min="15116" max="15118" width="11.453125" style="19"/>
    <col min="15119" max="15119" width="9.08984375" style="19" customWidth="1"/>
    <col min="15120" max="15120" width="11.453125" style="19"/>
    <col min="15121" max="15121" width="12.6328125" style="19" customWidth="1"/>
    <col min="15122" max="15360" width="11.453125" style="19"/>
    <col min="15361" max="15361" width="21" style="19" customWidth="1"/>
    <col min="15362" max="15362" width="10.08984375" style="19" customWidth="1"/>
    <col min="15363" max="15363" width="3.26953125" style="19" customWidth="1"/>
    <col min="15364" max="15364" width="10.36328125" style="19" customWidth="1"/>
    <col min="15365" max="15365" width="10.26953125" style="19" customWidth="1"/>
    <col min="15366" max="15366" width="11.6328125" style="19" customWidth="1"/>
    <col min="15367" max="15367" width="10.36328125" style="19" customWidth="1"/>
    <col min="15368" max="15368" width="11.54296875" style="19" customWidth="1"/>
    <col min="15369" max="15370" width="15.08984375" style="19" customWidth="1"/>
    <col min="15371" max="15371" width="6.1796875" style="19" customWidth="1"/>
    <col min="15372" max="15374" width="11.453125" style="19"/>
    <col min="15375" max="15375" width="9.08984375" style="19" customWidth="1"/>
    <col min="15376" max="15376" width="11.453125" style="19"/>
    <col min="15377" max="15377" width="12.6328125" style="19" customWidth="1"/>
    <col min="15378" max="15616" width="11.453125" style="19"/>
    <col min="15617" max="15617" width="21" style="19" customWidth="1"/>
    <col min="15618" max="15618" width="10.08984375" style="19" customWidth="1"/>
    <col min="15619" max="15619" width="3.26953125" style="19" customWidth="1"/>
    <col min="15620" max="15620" width="10.36328125" style="19" customWidth="1"/>
    <col min="15621" max="15621" width="10.26953125" style="19" customWidth="1"/>
    <col min="15622" max="15622" width="11.6328125" style="19" customWidth="1"/>
    <col min="15623" max="15623" width="10.36328125" style="19" customWidth="1"/>
    <col min="15624" max="15624" width="11.54296875" style="19" customWidth="1"/>
    <col min="15625" max="15626" width="15.08984375" style="19" customWidth="1"/>
    <col min="15627" max="15627" width="6.1796875" style="19" customWidth="1"/>
    <col min="15628" max="15630" width="11.453125" style="19"/>
    <col min="15631" max="15631" width="9.08984375" style="19" customWidth="1"/>
    <col min="15632" max="15632" width="11.453125" style="19"/>
    <col min="15633" max="15633" width="12.6328125" style="19" customWidth="1"/>
    <col min="15634" max="15872" width="11.453125" style="19"/>
    <col min="15873" max="15873" width="21" style="19" customWidth="1"/>
    <col min="15874" max="15874" width="10.08984375" style="19" customWidth="1"/>
    <col min="15875" max="15875" width="3.26953125" style="19" customWidth="1"/>
    <col min="15876" max="15876" width="10.36328125" style="19" customWidth="1"/>
    <col min="15877" max="15877" width="10.26953125" style="19" customWidth="1"/>
    <col min="15878" max="15878" width="11.6328125" style="19" customWidth="1"/>
    <col min="15879" max="15879" width="10.36328125" style="19" customWidth="1"/>
    <col min="15880" max="15880" width="11.54296875" style="19" customWidth="1"/>
    <col min="15881" max="15882" width="15.08984375" style="19" customWidth="1"/>
    <col min="15883" max="15883" width="6.1796875" style="19" customWidth="1"/>
    <col min="15884" max="15886" width="11.453125" style="19"/>
    <col min="15887" max="15887" width="9.08984375" style="19" customWidth="1"/>
    <col min="15888" max="15888" width="11.453125" style="19"/>
    <col min="15889" max="15889" width="12.6328125" style="19" customWidth="1"/>
    <col min="15890" max="16128" width="11.453125" style="19"/>
    <col min="16129" max="16129" width="21" style="19" customWidth="1"/>
    <col min="16130" max="16130" width="10.08984375" style="19" customWidth="1"/>
    <col min="16131" max="16131" width="3.26953125" style="19" customWidth="1"/>
    <col min="16132" max="16132" width="10.36328125" style="19" customWidth="1"/>
    <col min="16133" max="16133" width="10.26953125" style="19" customWidth="1"/>
    <col min="16134" max="16134" width="11.6328125" style="19" customWidth="1"/>
    <col min="16135" max="16135" width="10.36328125" style="19" customWidth="1"/>
    <col min="16136" max="16136" width="11.54296875" style="19" customWidth="1"/>
    <col min="16137" max="16138" width="15.08984375" style="19" customWidth="1"/>
    <col min="16139" max="16139" width="6.1796875" style="19" customWidth="1"/>
    <col min="16140" max="16142" width="11.453125" style="19"/>
    <col min="16143" max="16143" width="9.08984375" style="19" customWidth="1"/>
    <col min="16144" max="16144" width="11.453125" style="19"/>
    <col min="16145" max="16145" width="12.6328125" style="19" customWidth="1"/>
    <col min="16146" max="16384" width="11.453125" style="19"/>
  </cols>
  <sheetData>
    <row r="1" spans="1:26" ht="75.75" customHeight="1" x14ac:dyDescent="0.35">
      <c r="K1" s="21"/>
    </row>
    <row r="2" spans="1:26" ht="19.5" customHeight="1" x14ac:dyDescent="0.4">
      <c r="A2" s="22">
        <v>2011</v>
      </c>
      <c r="B2" s="23"/>
      <c r="C2" s="23"/>
      <c r="D2" s="23"/>
      <c r="E2" s="23"/>
      <c r="F2" s="24"/>
      <c r="G2" s="23"/>
      <c r="H2" s="25"/>
      <c r="I2" s="25"/>
      <c r="J2" s="25" t="s">
        <v>42</v>
      </c>
      <c r="K2" s="21"/>
      <c r="U2" s="26" t="s">
        <v>43</v>
      </c>
    </row>
    <row r="3" spans="1:26" ht="27" customHeight="1" x14ac:dyDescent="0.5">
      <c r="A3" s="615" t="s">
        <v>44</v>
      </c>
      <c r="B3" s="616"/>
      <c r="C3" s="616"/>
      <c r="D3" s="616"/>
      <c r="E3" s="616"/>
      <c r="F3" s="616"/>
      <c r="G3" s="616"/>
      <c r="H3" s="616"/>
      <c r="I3" s="616"/>
      <c r="J3" s="616"/>
      <c r="K3" s="21"/>
      <c r="U3" s="26"/>
    </row>
    <row r="4" spans="1:26" ht="27" customHeight="1" x14ac:dyDescent="0.4">
      <c r="A4" s="27"/>
      <c r="B4" s="28"/>
      <c r="C4" s="28"/>
      <c r="E4" s="29">
        <v>100</v>
      </c>
      <c r="F4" s="30" t="s">
        <v>45</v>
      </c>
      <c r="G4" s="20"/>
      <c r="I4" s="31"/>
      <c r="J4" s="31"/>
      <c r="K4" s="21"/>
      <c r="U4" s="26"/>
    </row>
    <row r="5" spans="1:26" ht="19.5" customHeight="1" x14ac:dyDescent="0.35">
      <c r="A5" s="29">
        <v>90</v>
      </c>
      <c r="B5" s="30" t="s">
        <v>46</v>
      </c>
      <c r="F5" s="19"/>
      <c r="G5" s="29">
        <v>85</v>
      </c>
      <c r="H5" s="30" t="s">
        <v>47</v>
      </c>
      <c r="I5" s="32"/>
      <c r="J5" s="32"/>
      <c r="K5" s="21"/>
      <c r="M5" s="26"/>
      <c r="U5" s="26"/>
    </row>
    <row r="6" spans="1:26" ht="19.5" customHeight="1" x14ac:dyDescent="0.35">
      <c r="A6" s="29">
        <v>40</v>
      </c>
      <c r="B6" s="30" t="s">
        <v>48</v>
      </c>
      <c r="C6" s="20"/>
      <c r="D6" s="33"/>
      <c r="G6" s="29">
        <v>30</v>
      </c>
      <c r="H6" s="30" t="s">
        <v>49</v>
      </c>
      <c r="I6" s="32"/>
      <c r="J6" s="32"/>
      <c r="K6" s="21"/>
      <c r="M6" s="26"/>
      <c r="U6" s="26"/>
    </row>
    <row r="7" spans="1:26" ht="19.5" customHeight="1" x14ac:dyDescent="0.35">
      <c r="A7" s="29">
        <v>14</v>
      </c>
      <c r="B7" s="661" t="s">
        <v>50</v>
      </c>
      <c r="C7" s="662"/>
      <c r="D7" s="662"/>
      <c r="E7" s="34"/>
      <c r="F7" s="34"/>
      <c r="G7" s="35">
        <v>1</v>
      </c>
      <c r="H7" s="30" t="s">
        <v>51</v>
      </c>
      <c r="I7" s="36"/>
      <c r="J7" s="32"/>
      <c r="K7" s="21"/>
      <c r="M7" s="26"/>
      <c r="U7" s="26"/>
    </row>
    <row r="8" spans="1:26" ht="9.75" customHeight="1" x14ac:dyDescent="0.35">
      <c r="A8" s="32"/>
      <c r="B8" s="32"/>
      <c r="C8" s="32"/>
      <c r="D8" s="32"/>
      <c r="E8" s="32"/>
      <c r="F8" s="32"/>
      <c r="G8" s="32"/>
      <c r="H8" s="32"/>
      <c r="I8" s="37"/>
      <c r="J8" s="32"/>
      <c r="K8" s="21"/>
    </row>
    <row r="9" spans="1:26" x14ac:dyDescent="0.35">
      <c r="A9" s="38" t="s">
        <v>52</v>
      </c>
      <c r="B9" s="39" t="s">
        <v>53</v>
      </c>
      <c r="C9" s="40"/>
      <c r="D9" s="39" t="s">
        <v>54</v>
      </c>
      <c r="E9" s="41" t="s">
        <v>55</v>
      </c>
      <c r="F9" s="42" t="s">
        <v>56</v>
      </c>
      <c r="G9" s="43"/>
      <c r="H9" s="42" t="s">
        <v>57</v>
      </c>
      <c r="I9" s="42" t="s">
        <v>58</v>
      </c>
      <c r="J9" s="41" t="s">
        <v>59</v>
      </c>
      <c r="K9" s="21"/>
      <c r="M9" s="26"/>
      <c r="U9" s="26" t="s">
        <v>43</v>
      </c>
    </row>
    <row r="10" spans="1:26" ht="18" customHeight="1" x14ac:dyDescent="0.35">
      <c r="A10" s="30" t="s">
        <v>60</v>
      </c>
      <c r="B10" s="32"/>
      <c r="C10" s="44"/>
      <c r="D10" s="32"/>
      <c r="E10" s="45"/>
      <c r="F10" s="32"/>
      <c r="G10" s="32"/>
      <c r="H10" s="32"/>
      <c r="I10" s="32"/>
      <c r="J10" s="45"/>
      <c r="K10" s="21"/>
    </row>
    <row r="11" spans="1:26" x14ac:dyDescent="0.35">
      <c r="A11" s="46" t="s">
        <v>61</v>
      </c>
      <c r="B11" s="47">
        <f>ROUND(((E4)*(G5/100)/2)+0.5,0)</f>
        <v>43</v>
      </c>
      <c r="C11" s="48" t="s">
        <v>62</v>
      </c>
      <c r="D11" s="49">
        <v>6</v>
      </c>
      <c r="E11" s="50" t="s">
        <v>63</v>
      </c>
      <c r="F11" s="51">
        <v>135</v>
      </c>
      <c r="G11" s="32"/>
      <c r="H11" s="52">
        <f>B11*D11</f>
        <v>258</v>
      </c>
      <c r="I11" s="53">
        <f>F11*H11</f>
        <v>34830</v>
      </c>
      <c r="J11" s="50" t="s">
        <v>64</v>
      </c>
      <c r="K11" s="21"/>
    </row>
    <row r="12" spans="1:26" x14ac:dyDescent="0.35">
      <c r="A12" s="46" t="s">
        <v>65</v>
      </c>
      <c r="B12" s="47">
        <f>ROUND(((E4*(G5/100)/2)*(1-(G6/100)))-0.5,0)</f>
        <v>29</v>
      </c>
      <c r="C12" s="48" t="s">
        <v>62</v>
      </c>
      <c r="D12" s="49">
        <v>5.5</v>
      </c>
      <c r="E12" s="50" t="s">
        <v>63</v>
      </c>
      <c r="F12" s="51">
        <v>125</v>
      </c>
      <c r="G12" s="32"/>
      <c r="H12" s="52">
        <f>B12*D12</f>
        <v>159.5</v>
      </c>
      <c r="I12" s="53">
        <f>F12*H12</f>
        <v>19937.5</v>
      </c>
      <c r="J12" s="50" t="s">
        <v>64</v>
      </c>
      <c r="K12" s="21"/>
      <c r="M12" s="26"/>
      <c r="U12" s="26" t="s">
        <v>43</v>
      </c>
    </row>
    <row r="13" spans="1:26" x14ac:dyDescent="0.35">
      <c r="A13" s="46" t="s">
        <v>66</v>
      </c>
      <c r="B13" s="54">
        <f>ROUND(((((A7-G7)/100)*E4)+0.25),0)</f>
        <v>13</v>
      </c>
      <c r="C13" s="48" t="s">
        <v>62</v>
      </c>
      <c r="D13" s="49">
        <v>11.5</v>
      </c>
      <c r="E13" s="50" t="s">
        <v>63</v>
      </c>
      <c r="F13" s="51">
        <v>55</v>
      </c>
      <c r="G13" s="32"/>
      <c r="H13" s="52">
        <f>B13*D13</f>
        <v>149.5</v>
      </c>
      <c r="I13" s="53">
        <f>F13*H13</f>
        <v>8222.5</v>
      </c>
      <c r="J13" s="50" t="s">
        <v>64</v>
      </c>
      <c r="K13" s="21"/>
      <c r="L13" s="55"/>
      <c r="N13" s="55"/>
      <c r="U13" s="26" t="s">
        <v>43</v>
      </c>
      <c r="Z13" s="56" t="s">
        <v>43</v>
      </c>
    </row>
    <row r="14" spans="1:26" x14ac:dyDescent="0.35">
      <c r="A14" s="46" t="s">
        <v>67</v>
      </c>
      <c r="B14" s="54">
        <f>ROUND(((E4/A6*0.33)+0.25),0)</f>
        <v>1</v>
      </c>
      <c r="C14" s="48" t="s">
        <v>62</v>
      </c>
      <c r="D14" s="49">
        <v>17</v>
      </c>
      <c r="E14" s="50" t="s">
        <v>63</v>
      </c>
      <c r="F14" s="51">
        <v>65</v>
      </c>
      <c r="G14" s="32"/>
      <c r="H14" s="52">
        <f>B14*D14</f>
        <v>17</v>
      </c>
      <c r="I14" s="53">
        <f>F14*H14</f>
        <v>1105</v>
      </c>
      <c r="J14" s="50" t="s">
        <v>64</v>
      </c>
      <c r="K14" s="21"/>
      <c r="L14" s="55"/>
      <c r="M14" s="26"/>
      <c r="N14" s="55"/>
      <c r="U14" s="26" t="s">
        <v>43</v>
      </c>
      <c r="Z14" s="56" t="s">
        <v>43</v>
      </c>
    </row>
    <row r="15" spans="1:26" ht="18" customHeight="1" x14ac:dyDescent="0.35">
      <c r="A15" s="34" t="s">
        <v>68</v>
      </c>
      <c r="B15" s="54"/>
      <c r="C15" s="48"/>
      <c r="D15" s="49"/>
      <c r="E15" s="50"/>
      <c r="F15" s="57"/>
      <c r="G15" s="58">
        <f>I15/E$4</f>
        <v>640.95000000000005</v>
      </c>
      <c r="H15" s="34" t="s">
        <v>69</v>
      </c>
      <c r="I15" s="59">
        <f>SUM(I11:I14)</f>
        <v>64095</v>
      </c>
      <c r="J15" s="50" t="s">
        <v>64</v>
      </c>
      <c r="K15" s="21"/>
      <c r="L15" s="55"/>
      <c r="M15" s="26"/>
      <c r="N15" s="55"/>
      <c r="U15" s="26"/>
      <c r="Z15" s="56"/>
    </row>
    <row r="16" spans="1:26" ht="18" customHeight="1" x14ac:dyDescent="0.35">
      <c r="A16" s="30" t="s">
        <v>70</v>
      </c>
      <c r="B16" s="32"/>
      <c r="C16" s="32"/>
      <c r="D16" s="32"/>
      <c r="E16" s="45"/>
      <c r="F16" s="32"/>
      <c r="G16" s="32"/>
      <c r="H16" s="32"/>
      <c r="I16" s="32"/>
      <c r="J16" s="45"/>
      <c r="K16" s="21"/>
      <c r="L16" s="55"/>
      <c r="M16" s="26"/>
      <c r="N16" s="55"/>
      <c r="U16" s="26" t="s">
        <v>43</v>
      </c>
      <c r="Z16" s="56" t="s">
        <v>43</v>
      </c>
    </row>
    <row r="17" spans="1:26" x14ac:dyDescent="0.35">
      <c r="A17" s="32"/>
      <c r="B17" s="50" t="s">
        <v>71</v>
      </c>
      <c r="C17" s="32"/>
      <c r="E17" s="45"/>
      <c r="F17" s="32"/>
      <c r="G17" s="32"/>
      <c r="H17" s="32"/>
      <c r="I17" s="32"/>
      <c r="J17" s="45"/>
      <c r="K17" s="21"/>
      <c r="M17" s="26"/>
      <c r="U17" s="26" t="s">
        <v>43</v>
      </c>
      <c r="Z17" s="56" t="s">
        <v>43</v>
      </c>
    </row>
    <row r="18" spans="1:26" x14ac:dyDescent="0.35">
      <c r="A18" s="60" t="str">
        <f t="shared" ref="A18:A24" si="0">A71</f>
        <v xml:space="preserve"> Corn Silage</v>
      </c>
      <c r="B18" s="61">
        <v>0.05</v>
      </c>
      <c r="C18" s="32"/>
      <c r="E18" s="50" t="str">
        <f>IF(C71&gt;99,"Cwt",IF(C71&gt;0,"Bushel","Ton"))</f>
        <v>Ton</v>
      </c>
      <c r="F18" s="51">
        <v>45</v>
      </c>
      <c r="G18" s="32"/>
      <c r="H18" s="52">
        <f>IF(C71&lt;=0,(J71*(1+B18)),(J71*2000)/C71*(1+B18))</f>
        <v>0</v>
      </c>
      <c r="I18" s="53">
        <f t="shared" ref="I18:I32" si="1">F18*H18</f>
        <v>0</v>
      </c>
      <c r="J18" s="50" t="s">
        <v>64</v>
      </c>
      <c r="K18" s="21"/>
      <c r="U18" s="26" t="s">
        <v>43</v>
      </c>
    </row>
    <row r="19" spans="1:26" x14ac:dyDescent="0.35">
      <c r="A19" s="60" t="str">
        <f t="shared" si="0"/>
        <v xml:space="preserve"> Alfalfa Hay, Bloom</v>
      </c>
      <c r="B19" s="61">
        <v>0.05</v>
      </c>
      <c r="C19" s="32"/>
      <c r="E19" s="50" t="str">
        <f t="shared" ref="E19:E24" si="2">IF(C72&gt;99,"Cwt",IF(C72&gt;0,"Bushel","Ton"))</f>
        <v>Ton</v>
      </c>
      <c r="F19" s="51">
        <v>180</v>
      </c>
      <c r="G19" s="32"/>
      <c r="H19" s="52">
        <f t="shared" ref="H19:H24" si="3">IF(C72=0,(J72*(1+B19)),(J72*2000)/C72*(1+B19))</f>
        <v>0</v>
      </c>
      <c r="I19" s="53">
        <f t="shared" si="1"/>
        <v>0</v>
      </c>
      <c r="J19" s="50" t="s">
        <v>64</v>
      </c>
      <c r="K19" s="21"/>
      <c r="U19" s="26"/>
    </row>
    <row r="20" spans="1:26" x14ac:dyDescent="0.35">
      <c r="A20" s="60" t="str">
        <f t="shared" si="0"/>
        <v xml:space="preserve"> Mixed Hay, 2nd Cutting</v>
      </c>
      <c r="B20" s="61">
        <v>0.05</v>
      </c>
      <c r="C20" s="32"/>
      <c r="E20" s="50" t="str">
        <f t="shared" si="2"/>
        <v>Ton</v>
      </c>
      <c r="F20" s="51">
        <v>150</v>
      </c>
      <c r="G20" s="32"/>
      <c r="H20" s="52">
        <f t="shared" si="3"/>
        <v>0</v>
      </c>
      <c r="I20" s="53">
        <f t="shared" si="1"/>
        <v>0</v>
      </c>
      <c r="J20" s="50" t="s">
        <v>64</v>
      </c>
      <c r="K20" s="21"/>
      <c r="U20" s="26" t="s">
        <v>43</v>
      </c>
    </row>
    <row r="21" spans="1:26" x14ac:dyDescent="0.35">
      <c r="A21" s="60" t="str">
        <f t="shared" si="0"/>
        <v xml:space="preserve"> Grass Hay, Average</v>
      </c>
      <c r="B21" s="61">
        <v>0.1</v>
      </c>
      <c r="C21" s="32"/>
      <c r="E21" s="50" t="str">
        <f t="shared" si="2"/>
        <v>Ton</v>
      </c>
      <c r="F21" s="51">
        <v>100</v>
      </c>
      <c r="G21" s="32"/>
      <c r="H21" s="52">
        <f t="shared" si="3"/>
        <v>208.79100000000003</v>
      </c>
      <c r="I21" s="53">
        <f t="shared" si="1"/>
        <v>20879.100000000002</v>
      </c>
      <c r="J21" s="50" t="s">
        <v>64</v>
      </c>
      <c r="K21" s="21"/>
      <c r="M21" s="26"/>
      <c r="U21" s="26" t="s">
        <v>43</v>
      </c>
    </row>
    <row r="22" spans="1:26" x14ac:dyDescent="0.35">
      <c r="A22" s="60" t="str">
        <f t="shared" si="0"/>
        <v xml:space="preserve"> Corn Grain</v>
      </c>
      <c r="B22" s="61">
        <v>0.02</v>
      </c>
      <c r="C22" s="32"/>
      <c r="E22" s="50" t="str">
        <f t="shared" si="2"/>
        <v>Bushel</v>
      </c>
      <c r="F22" s="51">
        <v>5.5</v>
      </c>
      <c r="G22" s="32"/>
      <c r="H22" s="52">
        <f t="shared" si="3"/>
        <v>958.85919642857141</v>
      </c>
      <c r="I22" s="53">
        <f t="shared" si="1"/>
        <v>5273.7255803571425</v>
      </c>
      <c r="J22" s="50" t="s">
        <v>64</v>
      </c>
      <c r="K22" s="21"/>
      <c r="M22" s="26"/>
      <c r="U22" s="26" t="s">
        <v>43</v>
      </c>
      <c r="Z22" s="56" t="s">
        <v>43</v>
      </c>
    </row>
    <row r="23" spans="1:26" x14ac:dyDescent="0.35">
      <c r="A23" s="60" t="str">
        <f t="shared" si="0"/>
        <v xml:space="preserve"> SBOM 48%</v>
      </c>
      <c r="B23" s="61">
        <v>0.02</v>
      </c>
      <c r="C23" s="32"/>
      <c r="E23" s="50" t="str">
        <f t="shared" si="2"/>
        <v>Ton</v>
      </c>
      <c r="F23" s="51">
        <v>395</v>
      </c>
      <c r="G23" s="32"/>
      <c r="H23" s="52">
        <f t="shared" si="3"/>
        <v>0</v>
      </c>
      <c r="I23" s="53">
        <f t="shared" si="1"/>
        <v>0</v>
      </c>
      <c r="J23" s="50" t="s">
        <v>64</v>
      </c>
      <c r="K23" s="21"/>
      <c r="L23" s="55"/>
      <c r="M23" s="26"/>
      <c r="N23" s="55"/>
      <c r="U23" s="26" t="s">
        <v>43</v>
      </c>
      <c r="Z23" s="56" t="s">
        <v>43</v>
      </c>
    </row>
    <row r="24" spans="1:26" x14ac:dyDescent="0.35">
      <c r="A24" s="60" t="str">
        <f t="shared" si="0"/>
        <v xml:space="preserve"> Other Feed</v>
      </c>
      <c r="B24" s="61">
        <v>0.05</v>
      </c>
      <c r="C24" s="32"/>
      <c r="E24" s="50" t="str">
        <f t="shared" si="2"/>
        <v>Ton</v>
      </c>
      <c r="F24" s="51">
        <v>0</v>
      </c>
      <c r="G24" s="32"/>
      <c r="H24" s="52">
        <f t="shared" si="3"/>
        <v>0</v>
      </c>
      <c r="I24" s="53">
        <f t="shared" si="1"/>
        <v>0</v>
      </c>
      <c r="J24" s="50" t="s">
        <v>64</v>
      </c>
      <c r="K24" s="21"/>
      <c r="L24" s="55"/>
      <c r="M24" s="26"/>
      <c r="N24" s="55"/>
      <c r="U24" s="26" t="s">
        <v>43</v>
      </c>
      <c r="Z24" s="56" t="s">
        <v>43</v>
      </c>
    </row>
    <row r="25" spans="1:26" x14ac:dyDescent="0.35">
      <c r="A25" s="46" t="s">
        <v>72</v>
      </c>
      <c r="B25" s="32"/>
      <c r="C25" s="32"/>
      <c r="D25" s="32"/>
      <c r="E25" s="50" t="s">
        <v>63</v>
      </c>
      <c r="F25" s="51">
        <v>1.4</v>
      </c>
      <c r="G25" s="32"/>
      <c r="H25" s="49">
        <v>0</v>
      </c>
      <c r="I25" s="53">
        <f t="shared" si="1"/>
        <v>0</v>
      </c>
      <c r="J25" s="50" t="s">
        <v>64</v>
      </c>
      <c r="K25" s="21"/>
      <c r="L25" s="55"/>
      <c r="M25" s="26"/>
      <c r="N25" s="55"/>
      <c r="U25" s="26"/>
      <c r="Z25" s="56"/>
    </row>
    <row r="26" spans="1:26" x14ac:dyDescent="0.35">
      <c r="A26" s="46" t="s">
        <v>73</v>
      </c>
      <c r="B26" s="62">
        <v>68</v>
      </c>
      <c r="C26" s="32" t="s">
        <v>74</v>
      </c>
      <c r="D26" s="32"/>
      <c r="E26" s="50" t="s">
        <v>63</v>
      </c>
      <c r="F26" s="51">
        <v>22</v>
      </c>
      <c r="H26" s="52">
        <f>B26/100*E4</f>
        <v>68</v>
      </c>
      <c r="I26" s="53">
        <f t="shared" si="1"/>
        <v>1496</v>
      </c>
      <c r="J26" s="50" t="s">
        <v>64</v>
      </c>
      <c r="K26" s="21"/>
      <c r="L26" s="55"/>
      <c r="M26" s="26"/>
      <c r="N26" s="55"/>
      <c r="U26" s="26" t="s">
        <v>43</v>
      </c>
    </row>
    <row r="27" spans="1:26" x14ac:dyDescent="0.35">
      <c r="A27" s="46" t="s">
        <v>75</v>
      </c>
      <c r="B27" s="62"/>
      <c r="C27" s="32" t="s">
        <v>76</v>
      </c>
      <c r="D27" s="32"/>
      <c r="E27" s="50" t="s">
        <v>77</v>
      </c>
      <c r="F27" s="53">
        <f>J119/E4</f>
        <v>26.720100000000002</v>
      </c>
      <c r="G27" s="32"/>
      <c r="H27" s="63">
        <f>E4</f>
        <v>100</v>
      </c>
      <c r="I27" s="53">
        <f>IF(B27=N(ISNUMBER(B27)),ROUND((F27*H27),2),ROUND((B27*H27),2))</f>
        <v>2672.01</v>
      </c>
      <c r="J27" s="50" t="s">
        <v>64</v>
      </c>
      <c r="K27" s="21"/>
      <c r="L27" s="55"/>
      <c r="M27" s="26"/>
      <c r="N27" s="55"/>
      <c r="U27" s="26" t="s">
        <v>43</v>
      </c>
    </row>
    <row r="28" spans="1:26" x14ac:dyDescent="0.35">
      <c r="A28" s="46" t="s">
        <v>78</v>
      </c>
      <c r="B28" s="32"/>
      <c r="C28" s="32"/>
      <c r="D28" s="32"/>
      <c r="E28" s="50" t="s">
        <v>77</v>
      </c>
      <c r="F28" s="51">
        <v>2</v>
      </c>
      <c r="G28" s="32"/>
      <c r="H28" s="63">
        <f>E4</f>
        <v>100</v>
      </c>
      <c r="I28" s="53">
        <f t="shared" si="1"/>
        <v>200</v>
      </c>
      <c r="J28" s="50" t="s">
        <v>64</v>
      </c>
      <c r="K28" s="21"/>
      <c r="L28" s="55"/>
      <c r="M28" s="26"/>
      <c r="N28" s="55"/>
      <c r="U28" s="26"/>
    </row>
    <row r="29" spans="1:26" x14ac:dyDescent="0.35">
      <c r="A29" s="46" t="s">
        <v>79</v>
      </c>
      <c r="B29" s="32"/>
      <c r="C29" s="32"/>
      <c r="D29" s="32"/>
      <c r="E29" s="50" t="s">
        <v>77</v>
      </c>
      <c r="F29" s="51">
        <v>2500</v>
      </c>
      <c r="G29" s="32"/>
      <c r="H29" s="63">
        <f>B14</f>
        <v>1</v>
      </c>
      <c r="I29" s="53">
        <f t="shared" si="1"/>
        <v>2500</v>
      </c>
      <c r="J29" s="50" t="s">
        <v>64</v>
      </c>
      <c r="K29" s="21"/>
      <c r="L29" s="55"/>
      <c r="M29" s="26"/>
      <c r="N29" s="55"/>
      <c r="U29" s="26"/>
    </row>
    <row r="30" spans="1:26" x14ac:dyDescent="0.35">
      <c r="A30" s="46" t="s">
        <v>80</v>
      </c>
      <c r="B30" s="62"/>
      <c r="C30" s="663" t="s">
        <v>81</v>
      </c>
      <c r="D30" s="663"/>
      <c r="E30" s="50" t="s">
        <v>82</v>
      </c>
      <c r="F30" s="51">
        <v>51</v>
      </c>
      <c r="G30" s="32"/>
      <c r="H30" s="63">
        <f>B30*E4</f>
        <v>0</v>
      </c>
      <c r="I30" s="53">
        <f>F30*H30</f>
        <v>0</v>
      </c>
      <c r="J30" s="50" t="s">
        <v>64</v>
      </c>
      <c r="K30" s="21"/>
      <c r="L30" s="55"/>
      <c r="M30" s="26"/>
      <c r="N30" s="55"/>
      <c r="U30" s="26"/>
    </row>
    <row r="31" spans="1:26" x14ac:dyDescent="0.35">
      <c r="A31" s="46" t="s">
        <v>83</v>
      </c>
      <c r="B31" s="64">
        <v>2.5</v>
      </c>
      <c r="C31" s="663" t="s">
        <v>81</v>
      </c>
      <c r="D31" s="663"/>
      <c r="E31" s="50" t="s">
        <v>82</v>
      </c>
      <c r="F31" s="51">
        <v>21</v>
      </c>
      <c r="G31" s="32"/>
      <c r="H31" s="63">
        <f>B31*E4</f>
        <v>250</v>
      </c>
      <c r="I31" s="53">
        <f t="shared" si="1"/>
        <v>5250</v>
      </c>
      <c r="J31" s="50" t="s">
        <v>64</v>
      </c>
      <c r="K31" s="21"/>
      <c r="L31" s="55"/>
      <c r="M31" s="26"/>
      <c r="N31" s="55"/>
      <c r="U31" s="26"/>
    </row>
    <row r="32" spans="1:26" x14ac:dyDescent="0.35">
      <c r="A32" s="46" t="s">
        <v>84</v>
      </c>
      <c r="B32" s="32"/>
      <c r="C32" s="32"/>
      <c r="D32" s="32"/>
      <c r="E32" s="50" t="s">
        <v>77</v>
      </c>
      <c r="F32" s="51">
        <v>5.2</v>
      </c>
      <c r="G32" s="32"/>
      <c r="H32" s="63">
        <f>B13+B14</f>
        <v>14</v>
      </c>
      <c r="I32" s="53">
        <f t="shared" si="1"/>
        <v>72.8</v>
      </c>
      <c r="J32" s="50" t="s">
        <v>64</v>
      </c>
      <c r="K32" s="21"/>
      <c r="L32" s="55"/>
      <c r="M32" s="26"/>
      <c r="N32" s="55"/>
      <c r="U32" s="26"/>
    </row>
    <row r="33" spans="1:26" x14ac:dyDescent="0.35">
      <c r="A33" s="46" t="s">
        <v>85</v>
      </c>
      <c r="B33" s="65"/>
      <c r="C33" s="32" t="s">
        <v>76</v>
      </c>
      <c r="D33" s="32"/>
      <c r="E33" s="50" t="s">
        <v>77</v>
      </c>
      <c r="F33" s="66">
        <f>IF(H33=0,0,((SUM(I13:I14)*0.02+(B13+B14)*3)/H33))</f>
        <v>16.324999999999999</v>
      </c>
      <c r="G33" s="32"/>
      <c r="H33" s="63">
        <f>B13+B14</f>
        <v>14</v>
      </c>
      <c r="I33" s="53">
        <f>IF(B33=N(ISNUMBER(B33)),ROUND((F33*H33),2),ROUND((B33*H33),2))</f>
        <v>228.55</v>
      </c>
      <c r="J33" s="50" t="s">
        <v>64</v>
      </c>
      <c r="K33" s="21"/>
      <c r="L33" s="55"/>
      <c r="M33" s="26"/>
      <c r="N33" s="55"/>
      <c r="U33" s="26"/>
    </row>
    <row r="34" spans="1:26" x14ac:dyDescent="0.35">
      <c r="A34" s="46" t="s">
        <v>86</v>
      </c>
      <c r="B34" s="32"/>
      <c r="C34" s="32"/>
      <c r="D34" s="32"/>
      <c r="E34" s="50" t="s">
        <v>77</v>
      </c>
      <c r="F34" s="51">
        <v>3.75</v>
      </c>
      <c r="G34" s="32"/>
      <c r="H34" s="63">
        <f>B11+B12</f>
        <v>72</v>
      </c>
      <c r="I34" s="53">
        <f>F34*H34</f>
        <v>270</v>
      </c>
      <c r="J34" s="50" t="s">
        <v>64</v>
      </c>
      <c r="K34" s="21"/>
      <c r="L34" s="55"/>
      <c r="M34" s="26"/>
      <c r="N34" s="55"/>
      <c r="U34" s="26"/>
    </row>
    <row r="35" spans="1:26" x14ac:dyDescent="0.35">
      <c r="A35" s="46" t="s">
        <v>87</v>
      </c>
      <c r="B35" s="65"/>
      <c r="C35" s="32" t="s">
        <v>76</v>
      </c>
      <c r="D35" s="32"/>
      <c r="E35" s="50" t="s">
        <v>77</v>
      </c>
      <c r="F35" s="66">
        <f>(SUM(I11:I12)*0.02+(B11+B12)*3.5)/H35</f>
        <v>18.713194444444447</v>
      </c>
      <c r="G35" s="32"/>
      <c r="H35" s="63">
        <f>B11+B12</f>
        <v>72</v>
      </c>
      <c r="I35" s="53">
        <f>IF(B35=N(ISNUMBER(B35)),ROUND((F35*H35),2),ROUND((B35*H35),2))</f>
        <v>1347.35</v>
      </c>
      <c r="J35" s="50" t="s">
        <v>64</v>
      </c>
      <c r="K35" s="21"/>
      <c r="L35" s="55"/>
      <c r="M35" s="26"/>
      <c r="N35" s="55"/>
      <c r="U35" s="26"/>
    </row>
    <row r="36" spans="1:26" x14ac:dyDescent="0.35">
      <c r="A36" s="46" t="s">
        <v>88</v>
      </c>
      <c r="B36" s="32"/>
      <c r="C36" s="32"/>
      <c r="D36" s="32"/>
      <c r="E36" s="50" t="s">
        <v>77</v>
      </c>
      <c r="F36" s="67">
        <v>14.4</v>
      </c>
      <c r="H36" s="68">
        <f>E4</f>
        <v>100</v>
      </c>
      <c r="I36" s="53">
        <f>F36*H36</f>
        <v>1440</v>
      </c>
      <c r="J36" s="50" t="s">
        <v>64</v>
      </c>
      <c r="K36" s="21"/>
      <c r="L36" s="55"/>
      <c r="M36" s="26"/>
      <c r="N36" s="55"/>
      <c r="U36" s="26"/>
    </row>
    <row r="37" spans="1:26" x14ac:dyDescent="0.35">
      <c r="A37" s="46" t="s">
        <v>89</v>
      </c>
      <c r="B37" s="32"/>
      <c r="C37" s="32"/>
      <c r="D37" s="32"/>
      <c r="E37" s="50" t="s">
        <v>77</v>
      </c>
      <c r="F37" s="67">
        <v>3.29</v>
      </c>
      <c r="H37" s="68">
        <f>E4</f>
        <v>100</v>
      </c>
      <c r="I37" s="53">
        <f>F37*H37</f>
        <v>329</v>
      </c>
      <c r="J37" s="50" t="s">
        <v>64</v>
      </c>
      <c r="K37" s="21"/>
      <c r="L37" s="55"/>
      <c r="M37" s="26"/>
      <c r="N37" s="55"/>
      <c r="U37" s="26"/>
    </row>
    <row r="38" spans="1:26" x14ac:dyDescent="0.35">
      <c r="A38" s="46" t="s">
        <v>90</v>
      </c>
      <c r="B38" s="32"/>
      <c r="C38" s="32"/>
      <c r="D38" s="32"/>
      <c r="E38" s="50" t="s">
        <v>77</v>
      </c>
      <c r="F38" s="67">
        <v>5.72</v>
      </c>
      <c r="H38" s="68">
        <f>E4</f>
        <v>100</v>
      </c>
      <c r="I38" s="53">
        <f>F38*H38</f>
        <v>572</v>
      </c>
      <c r="J38" s="50" t="s">
        <v>64</v>
      </c>
      <c r="K38" s="21"/>
      <c r="L38" s="55"/>
      <c r="M38" s="26"/>
      <c r="N38" s="55"/>
      <c r="U38" s="26"/>
    </row>
    <row r="39" spans="1:26" x14ac:dyDescent="0.35">
      <c r="A39" s="46" t="s">
        <v>91</v>
      </c>
      <c r="B39" s="32"/>
      <c r="C39" s="32"/>
      <c r="D39" s="32"/>
      <c r="E39" s="50" t="s">
        <v>77</v>
      </c>
      <c r="F39" s="51">
        <v>14.91</v>
      </c>
      <c r="H39" s="63">
        <f>E4</f>
        <v>100</v>
      </c>
      <c r="I39" s="53">
        <f>F39*H39</f>
        <v>1491</v>
      </c>
      <c r="J39" s="50" t="s">
        <v>64</v>
      </c>
      <c r="K39" s="21"/>
    </row>
    <row r="40" spans="1:26" x14ac:dyDescent="0.35">
      <c r="A40" s="46" t="s">
        <v>92</v>
      </c>
      <c r="B40" s="69">
        <v>8</v>
      </c>
      <c r="C40" s="32" t="s">
        <v>93</v>
      </c>
      <c r="E40" s="50" t="s">
        <v>94</v>
      </c>
      <c r="F40" s="51">
        <v>0</v>
      </c>
      <c r="H40" s="63">
        <f>E4*B40</f>
        <v>800</v>
      </c>
      <c r="I40" s="53">
        <f>F40*H40</f>
        <v>0</v>
      </c>
      <c r="J40" s="50" t="s">
        <v>64</v>
      </c>
      <c r="K40" s="21"/>
      <c r="L40" s="55"/>
      <c r="M40" s="26"/>
      <c r="N40" s="55"/>
      <c r="U40" s="26"/>
    </row>
    <row r="41" spans="1:26" x14ac:dyDescent="0.35">
      <c r="A41" s="46" t="s">
        <v>95</v>
      </c>
      <c r="B41" s="70">
        <v>6</v>
      </c>
      <c r="C41" s="32" t="s">
        <v>96</v>
      </c>
      <c r="D41" s="71"/>
      <c r="E41" s="50" t="s">
        <v>97</v>
      </c>
      <c r="F41" s="72">
        <v>0.06</v>
      </c>
      <c r="H41" s="73">
        <f>ROUND(SUM(I18:I40)-SUM(I32:I35),0)</f>
        <v>42103</v>
      </c>
      <c r="I41" s="53">
        <f>B41/12*F41*H41</f>
        <v>1263.0899999999999</v>
      </c>
      <c r="J41" s="50" t="s">
        <v>64</v>
      </c>
      <c r="K41" s="21"/>
      <c r="L41" s="55"/>
      <c r="M41" s="26"/>
      <c r="N41" s="55"/>
      <c r="U41" s="26"/>
    </row>
    <row r="42" spans="1:26" ht="15" customHeight="1" x14ac:dyDescent="0.35">
      <c r="A42" s="32"/>
      <c r="B42" s="32"/>
      <c r="C42" s="32"/>
      <c r="D42" s="32"/>
      <c r="E42" s="32"/>
      <c r="F42" s="32"/>
      <c r="G42" s="32"/>
      <c r="H42" s="32"/>
      <c r="I42" s="74"/>
      <c r="J42" s="45"/>
      <c r="K42" s="21"/>
      <c r="M42" s="26"/>
      <c r="U42" s="26" t="s">
        <v>43</v>
      </c>
      <c r="Z42" s="75" t="s">
        <v>43</v>
      </c>
    </row>
    <row r="43" spans="1:26" ht="18" customHeight="1" x14ac:dyDescent="0.35">
      <c r="A43" s="30" t="s">
        <v>98</v>
      </c>
      <c r="B43" s="32"/>
      <c r="C43" s="32"/>
      <c r="D43" s="32"/>
      <c r="E43" s="32"/>
      <c r="G43" s="58">
        <f>I43/E$4</f>
        <v>452.84625580357147</v>
      </c>
      <c r="H43" s="34" t="s">
        <v>69</v>
      </c>
      <c r="I43" s="59">
        <f>SUM(I18:I41)</f>
        <v>45284.625580357148</v>
      </c>
      <c r="J43" s="50" t="s">
        <v>64</v>
      </c>
      <c r="K43" s="21"/>
      <c r="M43" s="26"/>
      <c r="U43" s="26" t="s">
        <v>43</v>
      </c>
    </row>
    <row r="44" spans="1:26" ht="18" customHeight="1" x14ac:dyDescent="0.35">
      <c r="A44" s="30"/>
      <c r="B44" s="32"/>
      <c r="C44" s="32"/>
      <c r="D44" s="32"/>
      <c r="E44" s="32"/>
      <c r="G44" s="58"/>
      <c r="H44" s="34"/>
      <c r="I44" s="59"/>
      <c r="J44" s="50"/>
      <c r="K44" s="21"/>
      <c r="M44" s="26"/>
      <c r="U44" s="26"/>
    </row>
    <row r="45" spans="1:26" ht="18" customHeight="1" x14ac:dyDescent="0.35">
      <c r="A45" s="30" t="s">
        <v>99</v>
      </c>
      <c r="B45" s="32"/>
      <c r="C45" s="32"/>
      <c r="D45" s="32"/>
      <c r="E45" s="32"/>
      <c r="F45" s="32"/>
      <c r="G45" s="32"/>
      <c r="H45" s="32"/>
      <c r="I45" s="51">
        <v>0</v>
      </c>
      <c r="J45" s="50" t="s">
        <v>64</v>
      </c>
      <c r="K45" s="21"/>
      <c r="M45" s="26"/>
      <c r="U45" s="26"/>
    </row>
    <row r="46" spans="1:26" ht="18" customHeight="1" x14ac:dyDescent="0.35">
      <c r="A46" s="46"/>
      <c r="B46" s="32"/>
      <c r="C46" s="32"/>
      <c r="D46" s="32"/>
      <c r="E46" s="32"/>
      <c r="F46" s="32"/>
      <c r="G46" s="32"/>
      <c r="H46" s="32"/>
      <c r="I46" s="53"/>
      <c r="J46" s="50"/>
      <c r="K46" s="21"/>
      <c r="M46" s="26"/>
      <c r="U46" s="26"/>
    </row>
    <row r="47" spans="1:26" ht="21" customHeight="1" x14ac:dyDescent="0.35">
      <c r="A47" s="664" t="s">
        <v>100</v>
      </c>
      <c r="B47" s="665"/>
      <c r="C47" s="665"/>
      <c r="D47" s="665"/>
      <c r="E47" s="665"/>
      <c r="F47" s="665"/>
      <c r="G47" s="76">
        <f>I47/$E$4</f>
        <v>188.10374419642852</v>
      </c>
      <c r="H47" s="77" t="s">
        <v>69</v>
      </c>
      <c r="I47" s="78">
        <f>I15-I43-I45</f>
        <v>18810.374419642852</v>
      </c>
      <c r="J47" s="79" t="s">
        <v>64</v>
      </c>
      <c r="K47" s="21"/>
      <c r="M47" s="26" t="s">
        <v>43</v>
      </c>
      <c r="U47" s="26" t="s">
        <v>43</v>
      </c>
    </row>
    <row r="48" spans="1:26" ht="15" customHeight="1" thickBot="1" x14ac:dyDescent="0.4">
      <c r="A48" s="80"/>
      <c r="B48" s="81"/>
      <c r="C48" s="81"/>
      <c r="D48" s="81"/>
      <c r="E48" s="81"/>
      <c r="F48" s="81"/>
      <c r="G48" s="82"/>
      <c r="H48" s="83"/>
      <c r="I48" s="84"/>
      <c r="J48" s="85"/>
      <c r="K48" s="21"/>
      <c r="M48" s="26"/>
      <c r="U48" s="26"/>
    </row>
    <row r="49" spans="1:26" ht="16" thickTop="1" x14ac:dyDescent="0.35">
      <c r="K49" s="21"/>
    </row>
    <row r="50" spans="1:26" x14ac:dyDescent="0.35">
      <c r="A50" s="666" t="s">
        <v>101</v>
      </c>
      <c r="B50" s="666"/>
      <c r="C50" s="32"/>
      <c r="D50" s="667" t="s">
        <v>102</v>
      </c>
      <c r="E50" s="667"/>
      <c r="F50" s="667"/>
      <c r="G50" s="667"/>
      <c r="H50" s="667"/>
      <c r="I50" s="616"/>
      <c r="J50" s="616"/>
      <c r="K50" s="21"/>
      <c r="M50" s="26" t="s">
        <v>43</v>
      </c>
      <c r="O50" s="86" t="s">
        <v>43</v>
      </c>
      <c r="U50" s="26" t="s">
        <v>43</v>
      </c>
      <c r="Z50" s="75" t="s">
        <v>43</v>
      </c>
    </row>
    <row r="51" spans="1:26" x14ac:dyDescent="0.35">
      <c r="A51" s="87"/>
      <c r="B51" s="87"/>
      <c r="C51" s="88"/>
      <c r="D51" s="89">
        <f>$G$51-($B$60*5)</f>
        <v>-0.25</v>
      </c>
      <c r="E51" s="89">
        <f>$G$51-($B$60*2)</f>
        <v>-0.1</v>
      </c>
      <c r="F51" s="89">
        <f>$G$51-($B$60)</f>
        <v>-0.05</v>
      </c>
      <c r="G51" s="89">
        <v>0</v>
      </c>
      <c r="H51" s="89">
        <f>$G$51+($B$60)</f>
        <v>0.05</v>
      </c>
      <c r="I51" s="89">
        <f>$G$51+($B$60*2)</f>
        <v>0.1</v>
      </c>
      <c r="J51" s="89">
        <f>$G$51+($B$60*5)</f>
        <v>0.25</v>
      </c>
      <c r="K51" s="21"/>
      <c r="M51" s="26" t="s">
        <v>43</v>
      </c>
      <c r="O51" s="86" t="s">
        <v>43</v>
      </c>
      <c r="U51" s="26" t="s">
        <v>43</v>
      </c>
      <c r="Z51" s="75" t="s">
        <v>43</v>
      </c>
    </row>
    <row r="52" spans="1:26" x14ac:dyDescent="0.35">
      <c r="A52" s="87"/>
      <c r="B52" s="87"/>
      <c r="C52" s="88"/>
      <c r="D52" s="650" t="s">
        <v>103</v>
      </c>
      <c r="E52" s="651"/>
      <c r="F52" s="651"/>
      <c r="G52" s="651"/>
      <c r="H52" s="651"/>
      <c r="I52" s="651"/>
      <c r="J52" s="651"/>
      <c r="K52" s="21"/>
      <c r="M52" s="26"/>
      <c r="O52" s="86"/>
      <c r="U52" s="26"/>
      <c r="Z52" s="75"/>
    </row>
    <row r="53" spans="1:26" ht="18" customHeight="1" x14ac:dyDescent="0.35">
      <c r="B53" s="90">
        <f>$B$55-($B$60*2)</f>
        <v>-0.1</v>
      </c>
      <c r="C53" s="32"/>
      <c r="D53" s="91">
        <f t="shared" ref="D53:J58" si="4">(($I$15*(1+D$51))-($I$43*(1+$B53)))/$E$4</f>
        <v>73.150869776785697</v>
      </c>
      <c r="E53" s="91">
        <f t="shared" si="4"/>
        <v>169.29336977678568</v>
      </c>
      <c r="F53" s="91">
        <f t="shared" si="4"/>
        <v>201.34086977678569</v>
      </c>
      <c r="G53" s="91">
        <f t="shared" si="4"/>
        <v>233.38836977678568</v>
      </c>
      <c r="H53" s="91">
        <f t="shared" si="4"/>
        <v>265.43586977678569</v>
      </c>
      <c r="I53" s="91">
        <f t="shared" si="4"/>
        <v>297.48336977678571</v>
      </c>
      <c r="J53" s="91">
        <f t="shared" si="4"/>
        <v>393.62586977678569</v>
      </c>
      <c r="K53" s="21"/>
      <c r="M53" s="26" t="s">
        <v>43</v>
      </c>
      <c r="O53" s="86" t="s">
        <v>43</v>
      </c>
      <c r="U53" s="26" t="s">
        <v>43</v>
      </c>
      <c r="Z53" s="75" t="s">
        <v>43</v>
      </c>
    </row>
    <row r="54" spans="1:26" x14ac:dyDescent="0.35">
      <c r="A54" s="92" t="s">
        <v>104</v>
      </c>
      <c r="B54" s="90">
        <f>$B$55-$B$60</f>
        <v>-0.05</v>
      </c>
      <c r="C54" s="32"/>
      <c r="D54" s="91">
        <f t="shared" si="4"/>
        <v>50.508556986607147</v>
      </c>
      <c r="E54" s="91">
        <f t="shared" si="4"/>
        <v>146.65105698660716</v>
      </c>
      <c r="F54" s="91">
        <f t="shared" si="4"/>
        <v>178.69855698660714</v>
      </c>
      <c r="G54" s="91">
        <f t="shared" si="4"/>
        <v>210.74605698660716</v>
      </c>
      <c r="H54" s="91">
        <f t="shared" si="4"/>
        <v>242.79355698660714</v>
      </c>
      <c r="I54" s="91">
        <f t="shared" si="4"/>
        <v>274.84105698660716</v>
      </c>
      <c r="J54" s="91">
        <f t="shared" si="4"/>
        <v>370.98355698660714</v>
      </c>
      <c r="K54" s="21"/>
      <c r="M54" s="26" t="s">
        <v>43</v>
      </c>
      <c r="O54" s="86" t="s">
        <v>43</v>
      </c>
      <c r="U54" s="26" t="s">
        <v>43</v>
      </c>
      <c r="Z54" s="75" t="s">
        <v>43</v>
      </c>
    </row>
    <row r="55" spans="1:26" x14ac:dyDescent="0.35">
      <c r="A55" s="92" t="s">
        <v>105</v>
      </c>
      <c r="B55" s="90">
        <v>0</v>
      </c>
      <c r="C55" s="32"/>
      <c r="D55" s="91">
        <f t="shared" si="4"/>
        <v>27.866244196428525</v>
      </c>
      <c r="E55" s="91">
        <f t="shared" si="4"/>
        <v>124.00874419642852</v>
      </c>
      <c r="F55" s="91">
        <f t="shared" si="4"/>
        <v>156.05624419642854</v>
      </c>
      <c r="G55" s="93">
        <f t="shared" si="4"/>
        <v>188.10374419642852</v>
      </c>
      <c r="H55" s="91">
        <f t="shared" si="4"/>
        <v>220.15124419642854</v>
      </c>
      <c r="I55" s="91">
        <f t="shared" si="4"/>
        <v>252.19874419642852</v>
      </c>
      <c r="J55" s="91">
        <f t="shared" si="4"/>
        <v>348.34124419642853</v>
      </c>
      <c r="K55" s="21"/>
      <c r="M55" s="26" t="s">
        <v>43</v>
      </c>
      <c r="O55" s="86" t="s">
        <v>43</v>
      </c>
      <c r="U55" s="26" t="s">
        <v>43</v>
      </c>
      <c r="Z55" s="75" t="s">
        <v>43</v>
      </c>
    </row>
    <row r="56" spans="1:26" x14ac:dyDescent="0.35">
      <c r="A56" s="92" t="s">
        <v>106</v>
      </c>
      <c r="B56" s="90">
        <f>$B$55+$B$60</f>
        <v>0.05</v>
      </c>
      <c r="C56" s="32"/>
      <c r="D56" s="91">
        <f t="shared" si="4"/>
        <v>5.2239314062499034</v>
      </c>
      <c r="E56" s="91">
        <f t="shared" si="4"/>
        <v>101.3664314062499</v>
      </c>
      <c r="F56" s="91">
        <f t="shared" si="4"/>
        <v>133.4139314062499</v>
      </c>
      <c r="G56" s="91">
        <f t="shared" si="4"/>
        <v>165.46143140624991</v>
      </c>
      <c r="H56" s="91">
        <f t="shared" si="4"/>
        <v>197.5089314062499</v>
      </c>
      <c r="I56" s="91">
        <f t="shared" si="4"/>
        <v>229.55643140624991</v>
      </c>
      <c r="J56" s="91">
        <f t="shared" si="4"/>
        <v>325.69893140624993</v>
      </c>
      <c r="K56" s="21"/>
      <c r="M56" s="26" t="s">
        <v>43</v>
      </c>
      <c r="O56" s="86" t="s">
        <v>43</v>
      </c>
      <c r="U56" s="26" t="s">
        <v>43</v>
      </c>
      <c r="Z56" s="75" t="s">
        <v>43</v>
      </c>
    </row>
    <row r="57" spans="1:26" x14ac:dyDescent="0.35">
      <c r="A57" s="92" t="s">
        <v>107</v>
      </c>
      <c r="B57" s="90">
        <f>$B$55+($B$60*2)</f>
        <v>0.1</v>
      </c>
      <c r="C57" s="32"/>
      <c r="D57" s="91">
        <f t="shared" si="4"/>
        <v>-17.418381383928644</v>
      </c>
      <c r="E57" s="91">
        <f t="shared" si="4"/>
        <v>78.724118616071351</v>
      </c>
      <c r="F57" s="91">
        <f t="shared" si="4"/>
        <v>110.77161861607135</v>
      </c>
      <c r="G57" s="91">
        <f t="shared" si="4"/>
        <v>142.81911861607136</v>
      </c>
      <c r="H57" s="91">
        <f t="shared" si="4"/>
        <v>174.86661861607135</v>
      </c>
      <c r="I57" s="91">
        <f t="shared" si="4"/>
        <v>206.91411861607136</v>
      </c>
      <c r="J57" s="91">
        <f t="shared" si="4"/>
        <v>303.05661861607138</v>
      </c>
      <c r="K57" s="21"/>
      <c r="M57" s="26" t="s">
        <v>43</v>
      </c>
      <c r="U57" s="26" t="s">
        <v>43</v>
      </c>
    </row>
    <row r="58" spans="1:26" x14ac:dyDescent="0.35">
      <c r="A58" s="87"/>
      <c r="B58" s="90">
        <f>$B$55+($B$60*5)</f>
        <v>0.25</v>
      </c>
      <c r="C58" s="32"/>
      <c r="D58" s="91">
        <f t="shared" si="4"/>
        <v>-85.345319754464356</v>
      </c>
      <c r="E58" s="91">
        <f t="shared" si="4"/>
        <v>10.797180245535637</v>
      </c>
      <c r="F58" s="91">
        <f t="shared" si="4"/>
        <v>42.844680245535635</v>
      </c>
      <c r="G58" s="91">
        <f t="shared" si="4"/>
        <v>74.892180245535641</v>
      </c>
      <c r="H58" s="91">
        <f t="shared" si="4"/>
        <v>106.93968024553564</v>
      </c>
      <c r="I58" s="91">
        <f t="shared" si="4"/>
        <v>138.98718024553563</v>
      </c>
      <c r="J58" s="91">
        <f t="shared" si="4"/>
        <v>235.12968024553564</v>
      </c>
      <c r="K58" s="21"/>
      <c r="M58" s="26" t="s">
        <v>43</v>
      </c>
      <c r="U58" s="26" t="s">
        <v>43</v>
      </c>
      <c r="Z58" s="75" t="s">
        <v>43</v>
      </c>
    </row>
    <row r="59" spans="1:26" ht="15" customHeight="1" x14ac:dyDescent="0.35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21"/>
      <c r="M59" s="26"/>
      <c r="U59" s="26"/>
      <c r="Z59" s="75"/>
    </row>
    <row r="60" spans="1:26" ht="15" customHeight="1" x14ac:dyDescent="0.35">
      <c r="A60" s="87"/>
      <c r="B60" s="95">
        <v>0.05</v>
      </c>
      <c r="C60" s="96" t="s">
        <v>108</v>
      </c>
      <c r="E60" s="97"/>
      <c r="F60" s="97"/>
      <c r="G60" s="97"/>
      <c r="H60" s="97"/>
      <c r="I60" s="97"/>
      <c r="J60" s="97"/>
      <c r="K60" s="21"/>
      <c r="M60" s="26"/>
      <c r="U60" s="26"/>
      <c r="Z60" s="75"/>
    </row>
    <row r="61" spans="1:26" ht="15" customHeight="1" thickBot="1" x14ac:dyDescent="0.4">
      <c r="A61" s="98"/>
      <c r="B61" s="99"/>
      <c r="C61" s="100"/>
      <c r="D61" s="101"/>
      <c r="E61" s="101"/>
      <c r="F61" s="101"/>
      <c r="G61" s="101"/>
      <c r="H61" s="101"/>
      <c r="I61" s="101"/>
      <c r="J61" s="101"/>
      <c r="K61" s="21"/>
      <c r="M61" s="26"/>
      <c r="U61" s="26"/>
      <c r="Z61" s="75"/>
    </row>
    <row r="62" spans="1:26" ht="16.5" customHeight="1" thickTop="1" x14ac:dyDescent="0.35">
      <c r="A62" s="652" t="s">
        <v>109</v>
      </c>
      <c r="B62" s="653"/>
      <c r="C62" s="653"/>
      <c r="D62" s="653"/>
      <c r="E62" s="653"/>
      <c r="F62" s="653"/>
      <c r="G62" s="653"/>
      <c r="H62" s="653"/>
      <c r="I62" s="653"/>
      <c r="J62" s="653"/>
      <c r="K62" s="21"/>
      <c r="L62" s="55" t="s">
        <v>43</v>
      </c>
      <c r="M62" s="26" t="s">
        <v>43</v>
      </c>
      <c r="N62" s="55" t="s">
        <v>43</v>
      </c>
      <c r="U62" s="26" t="s">
        <v>43</v>
      </c>
    </row>
    <row r="63" spans="1:26" ht="16.5" customHeight="1" x14ac:dyDescent="0.35">
      <c r="A63" s="46"/>
      <c r="B63" s="32"/>
      <c r="C63" s="44"/>
      <c r="D63" s="32"/>
      <c r="E63" s="52"/>
      <c r="F63" s="50"/>
      <c r="G63" s="32"/>
      <c r="H63" s="52"/>
      <c r="I63" s="32"/>
      <c r="J63" s="46"/>
      <c r="K63" s="21"/>
      <c r="L63" s="55"/>
      <c r="M63" s="26"/>
      <c r="N63" s="55"/>
      <c r="U63" s="26"/>
    </row>
    <row r="64" spans="1:26" ht="18.75" customHeight="1" x14ac:dyDescent="0.3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21"/>
      <c r="L64" s="55" t="s">
        <v>43</v>
      </c>
      <c r="M64" s="26" t="s">
        <v>43</v>
      </c>
      <c r="N64" s="55" t="s">
        <v>43</v>
      </c>
      <c r="U64" s="26" t="s">
        <v>43</v>
      </c>
      <c r="Z64" s="75" t="s">
        <v>43</v>
      </c>
    </row>
    <row r="65" spans="1:26" ht="21" customHeight="1" x14ac:dyDescent="0.35">
      <c r="A65" s="654" t="str">
        <f>A3</f>
        <v>Beef Cows Spring Calving - Hay Ration</v>
      </c>
      <c r="B65" s="655"/>
      <c r="C65" s="655"/>
      <c r="D65" s="655"/>
      <c r="E65" s="656"/>
      <c r="F65" s="656"/>
      <c r="G65" s="102"/>
      <c r="H65" s="102"/>
      <c r="I65" s="102"/>
      <c r="J65" s="103" t="s">
        <v>110</v>
      </c>
      <c r="K65" s="21"/>
      <c r="M65" s="26" t="s">
        <v>43</v>
      </c>
      <c r="U65" s="26" t="s">
        <v>43</v>
      </c>
    </row>
    <row r="66" spans="1:26" ht="21" customHeight="1" x14ac:dyDescent="0.35">
      <c r="A66" s="104" t="s">
        <v>111</v>
      </c>
      <c r="B66" s="32"/>
      <c r="C66" s="44"/>
      <c r="D66" s="32"/>
      <c r="E66" s="105"/>
      <c r="F66" s="105"/>
      <c r="G66" s="106" t="s">
        <v>112</v>
      </c>
      <c r="H66" s="106" t="s">
        <v>113</v>
      </c>
      <c r="I66" s="107" t="s">
        <v>114</v>
      </c>
      <c r="J66" s="106"/>
      <c r="K66" s="21"/>
      <c r="M66" s="26" t="s">
        <v>43</v>
      </c>
      <c r="U66" s="26" t="s">
        <v>43</v>
      </c>
    </row>
    <row r="67" spans="1:26" x14ac:dyDescent="0.35">
      <c r="A67" s="108" t="s">
        <v>115</v>
      </c>
      <c r="B67" s="32"/>
      <c r="C67" s="44"/>
      <c r="D67" s="106" t="s">
        <v>116</v>
      </c>
      <c r="E67" s="106" t="s">
        <v>117</v>
      </c>
      <c r="F67" s="106" t="s">
        <v>118</v>
      </c>
      <c r="G67" s="106" t="s">
        <v>119</v>
      </c>
      <c r="H67" s="106" t="s">
        <v>119</v>
      </c>
      <c r="I67" s="107" t="s">
        <v>77</v>
      </c>
      <c r="J67" s="109" t="s">
        <v>120</v>
      </c>
      <c r="K67" s="21"/>
      <c r="M67" s="26" t="s">
        <v>43</v>
      </c>
      <c r="U67" s="26" t="s">
        <v>43</v>
      </c>
    </row>
    <row r="68" spans="1:26" x14ac:dyDescent="0.35">
      <c r="A68" s="57"/>
      <c r="B68" s="657" t="s">
        <v>121</v>
      </c>
      <c r="C68" s="658"/>
      <c r="D68" s="110">
        <f>IF(D95&gt;0,(E4*(A5/100)),E4)-H68</f>
        <v>87</v>
      </c>
      <c r="E68" s="54">
        <f>ROUND(((E4/A6)+0.25),0)</f>
        <v>3</v>
      </c>
      <c r="F68" s="54">
        <f>ROUND((E4*(G5/100)+0.25),0)</f>
        <v>85</v>
      </c>
      <c r="G68" s="47">
        <f>ROUND((E4*(A5/200)*(G6/100)+0.25),0)</f>
        <v>14</v>
      </c>
      <c r="H68" s="54">
        <f>IF(D115&gt;0,ROUND(((G68*(A5/100))+0.25),0),G68)</f>
        <v>13</v>
      </c>
      <c r="I68" s="111">
        <v>0</v>
      </c>
      <c r="J68" s="109" t="s">
        <v>122</v>
      </c>
      <c r="K68" s="21"/>
      <c r="M68" s="26" t="s">
        <v>43</v>
      </c>
      <c r="U68" s="26" t="s">
        <v>43</v>
      </c>
    </row>
    <row r="69" spans="1:26" x14ac:dyDescent="0.35">
      <c r="A69" s="112" t="s">
        <v>123</v>
      </c>
      <c r="B69" s="659" t="s">
        <v>124</v>
      </c>
      <c r="C69" s="660"/>
      <c r="D69" s="113">
        <v>135</v>
      </c>
      <c r="E69" s="113">
        <v>135</v>
      </c>
      <c r="F69" s="113">
        <v>0</v>
      </c>
      <c r="G69" s="113">
        <v>135</v>
      </c>
      <c r="H69" s="113">
        <v>135</v>
      </c>
      <c r="I69" s="113">
        <v>0</v>
      </c>
      <c r="J69" s="114" t="s">
        <v>125</v>
      </c>
      <c r="K69" s="21"/>
      <c r="M69" s="26" t="s">
        <v>43</v>
      </c>
      <c r="U69" s="26" t="s">
        <v>43</v>
      </c>
      <c r="Z69" s="75" t="s">
        <v>43</v>
      </c>
    </row>
    <row r="70" spans="1:26" x14ac:dyDescent="0.35">
      <c r="A70" s="115"/>
      <c r="B70" s="116"/>
      <c r="C70" s="117" t="s">
        <v>126</v>
      </c>
      <c r="D70" s="118"/>
      <c r="E70" s="118"/>
      <c r="F70" s="118"/>
      <c r="G70" s="118"/>
      <c r="H70" s="118"/>
      <c r="I70" s="118"/>
      <c r="J70" s="118"/>
      <c r="K70" s="119"/>
      <c r="M70" s="26" t="s">
        <v>43</v>
      </c>
      <c r="U70" s="26" t="s">
        <v>43</v>
      </c>
      <c r="Z70" s="75" t="s">
        <v>43</v>
      </c>
    </row>
    <row r="71" spans="1:26" x14ac:dyDescent="0.35">
      <c r="A71" s="120" t="s">
        <v>127</v>
      </c>
      <c r="B71" s="121" t="s">
        <v>128</v>
      </c>
      <c r="C71" s="122"/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52">
        <f t="shared" ref="J71:J77" si="5">(($E$68*$E$69*E71)+($F$68*$F$69*F71)+($G$68*$G$69*G71)+($H$68*$H$69*H71)+($I$68*$I$69*I71)+($D$68*$D$69*D71))/2000</f>
        <v>0</v>
      </c>
      <c r="K71" s="21"/>
      <c r="M71" s="26"/>
      <c r="U71" s="26"/>
      <c r="Z71" s="75"/>
    </row>
    <row r="72" spans="1:26" x14ac:dyDescent="0.35">
      <c r="A72" s="120" t="s">
        <v>129</v>
      </c>
      <c r="B72" s="121" t="s">
        <v>128</v>
      </c>
      <c r="C72" s="122"/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52">
        <f t="shared" si="5"/>
        <v>0</v>
      </c>
      <c r="K72" s="21"/>
      <c r="M72" s="26"/>
      <c r="U72" s="26"/>
      <c r="Z72" s="75"/>
    </row>
    <row r="73" spans="1:26" x14ac:dyDescent="0.35">
      <c r="A73" s="120" t="s">
        <v>130</v>
      </c>
      <c r="B73" s="121" t="s">
        <v>128</v>
      </c>
      <c r="C73" s="122"/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52">
        <f t="shared" si="5"/>
        <v>0</v>
      </c>
      <c r="K73" s="21"/>
    </row>
    <row r="74" spans="1:26" ht="15" customHeight="1" x14ac:dyDescent="0.35">
      <c r="A74" s="120" t="s">
        <v>131</v>
      </c>
      <c r="B74" s="121" t="s">
        <v>128</v>
      </c>
      <c r="C74" s="122"/>
      <c r="D74" s="49">
        <v>26</v>
      </c>
      <c r="E74" s="49">
        <v>32</v>
      </c>
      <c r="F74" s="49">
        <v>0</v>
      </c>
      <c r="G74" s="49">
        <v>12</v>
      </c>
      <c r="H74" s="49">
        <v>22</v>
      </c>
      <c r="I74" s="49">
        <v>0</v>
      </c>
      <c r="J74" s="52">
        <f t="shared" si="5"/>
        <v>189.81</v>
      </c>
      <c r="K74" s="21"/>
      <c r="L74" s="55" t="s">
        <v>43</v>
      </c>
      <c r="M74" s="26" t="s">
        <v>43</v>
      </c>
      <c r="N74" s="55" t="s">
        <v>43</v>
      </c>
      <c r="U74" s="26" t="s">
        <v>43</v>
      </c>
      <c r="Z74" s="75" t="s">
        <v>43</v>
      </c>
    </row>
    <row r="75" spans="1:26" x14ac:dyDescent="0.35">
      <c r="A75" s="123" t="s">
        <v>132</v>
      </c>
      <c r="B75" s="121" t="s">
        <v>128</v>
      </c>
      <c r="C75" s="122">
        <v>56</v>
      </c>
      <c r="D75" s="49">
        <v>2.75</v>
      </c>
      <c r="E75" s="49">
        <v>3.35</v>
      </c>
      <c r="F75" s="49">
        <v>0</v>
      </c>
      <c r="G75" s="49">
        <v>6.1</v>
      </c>
      <c r="H75" s="49">
        <v>4.25</v>
      </c>
      <c r="I75" s="49">
        <v>0</v>
      </c>
      <c r="J75" s="52">
        <f t="shared" si="5"/>
        <v>26.321625000000001</v>
      </c>
      <c r="K75" s="21"/>
    </row>
    <row r="76" spans="1:26" ht="15" customHeight="1" x14ac:dyDescent="0.35">
      <c r="A76" s="120" t="s">
        <v>133</v>
      </c>
      <c r="B76" s="121" t="s">
        <v>128</v>
      </c>
      <c r="C76" s="122"/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52">
        <f t="shared" si="5"/>
        <v>0</v>
      </c>
      <c r="K76" s="21"/>
      <c r="M76" s="26" t="s">
        <v>43</v>
      </c>
      <c r="U76" s="26" t="s">
        <v>43</v>
      </c>
    </row>
    <row r="77" spans="1:26" x14ac:dyDescent="0.35">
      <c r="A77" s="120" t="s">
        <v>134</v>
      </c>
      <c r="B77" s="121" t="s">
        <v>128</v>
      </c>
      <c r="C77" s="122"/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52">
        <f t="shared" si="5"/>
        <v>0</v>
      </c>
      <c r="K77" s="21"/>
      <c r="L77" s="55" t="s">
        <v>43</v>
      </c>
      <c r="M77" s="26" t="s">
        <v>43</v>
      </c>
      <c r="N77" s="55" t="s">
        <v>43</v>
      </c>
      <c r="U77" s="26" t="s">
        <v>43</v>
      </c>
    </row>
    <row r="78" spans="1:26" ht="16" thickBot="1" x14ac:dyDescent="0.4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19"/>
      <c r="M78" s="26" t="s">
        <v>43</v>
      </c>
      <c r="U78" s="26" t="s">
        <v>43</v>
      </c>
    </row>
    <row r="79" spans="1:26" ht="21" customHeight="1" thickTop="1" x14ac:dyDescent="0.35">
      <c r="A79" s="104" t="s">
        <v>135</v>
      </c>
      <c r="B79" s="32"/>
      <c r="C79" s="105"/>
      <c r="D79" s="106" t="s">
        <v>136</v>
      </c>
      <c r="E79" s="125"/>
      <c r="F79" s="50" t="s">
        <v>104</v>
      </c>
      <c r="G79" s="105"/>
      <c r="H79" s="50" t="s">
        <v>137</v>
      </c>
      <c r="I79" s="50" t="s">
        <v>104</v>
      </c>
      <c r="J79" s="106" t="s">
        <v>138</v>
      </c>
      <c r="K79" s="21"/>
      <c r="M79" s="26" t="s">
        <v>43</v>
      </c>
      <c r="U79" s="26" t="s">
        <v>43</v>
      </c>
      <c r="Z79" s="75" t="s">
        <v>43</v>
      </c>
    </row>
    <row r="80" spans="1:26" x14ac:dyDescent="0.35">
      <c r="A80" s="126" t="s">
        <v>139</v>
      </c>
      <c r="B80" s="127"/>
      <c r="C80" s="128"/>
      <c r="D80" s="129" t="s">
        <v>140</v>
      </c>
      <c r="E80" s="128"/>
      <c r="F80" s="130" t="s">
        <v>141</v>
      </c>
      <c r="G80" s="128"/>
      <c r="H80" s="130" t="s">
        <v>142</v>
      </c>
      <c r="I80" s="130" t="s">
        <v>143</v>
      </c>
      <c r="J80" s="129" t="s">
        <v>144</v>
      </c>
      <c r="K80" s="21"/>
      <c r="M80" s="26" t="s">
        <v>43</v>
      </c>
      <c r="U80" s="26" t="s">
        <v>43</v>
      </c>
    </row>
    <row r="81" spans="1:26" ht="12" customHeight="1" x14ac:dyDescent="0.35">
      <c r="A81" s="131"/>
      <c r="B81" s="131"/>
      <c r="C81" s="131"/>
      <c r="D81" s="131"/>
      <c r="E81" s="131"/>
      <c r="F81" s="50"/>
      <c r="G81" s="131"/>
      <c r="H81" s="50"/>
      <c r="I81" s="50"/>
      <c r="J81" s="131"/>
      <c r="K81" s="21"/>
      <c r="M81" s="26" t="s">
        <v>43</v>
      </c>
      <c r="U81" s="26" t="s">
        <v>43</v>
      </c>
      <c r="Z81" s="75" t="s">
        <v>43</v>
      </c>
    </row>
    <row r="82" spans="1:26" x14ac:dyDescent="0.35">
      <c r="A82" s="120" t="s">
        <v>65</v>
      </c>
      <c r="B82" s="57"/>
      <c r="C82" s="32"/>
      <c r="D82" s="132">
        <v>0</v>
      </c>
      <c r="E82" s="57"/>
      <c r="F82" s="133">
        <v>0.1</v>
      </c>
      <c r="G82" s="57"/>
      <c r="H82" s="134">
        <v>0</v>
      </c>
      <c r="I82" s="135">
        <v>1</v>
      </c>
      <c r="J82" s="53">
        <f>(IF(H82&gt;0,PMT(F82,H82,-D82),0))*(I82)</f>
        <v>0</v>
      </c>
      <c r="K82" s="136"/>
      <c r="L82" s="55" t="s">
        <v>43</v>
      </c>
      <c r="M82" s="26" t="s">
        <v>43</v>
      </c>
      <c r="N82" s="55" t="s">
        <v>43</v>
      </c>
      <c r="U82" s="26" t="s">
        <v>43</v>
      </c>
      <c r="Z82" s="75" t="s">
        <v>43</v>
      </c>
    </row>
    <row r="83" spans="1:26" x14ac:dyDescent="0.35">
      <c r="A83" s="120" t="s">
        <v>145</v>
      </c>
      <c r="B83" s="57"/>
      <c r="C83" s="32"/>
      <c r="D83" s="132">
        <v>0</v>
      </c>
      <c r="E83" s="57"/>
      <c r="F83" s="133">
        <v>0</v>
      </c>
      <c r="G83" s="57"/>
      <c r="H83" s="134">
        <v>0</v>
      </c>
      <c r="I83" s="135">
        <v>1</v>
      </c>
      <c r="J83" s="53">
        <f>(IF(H83&gt;0,PMT(F83,H83,-D83),0))*(I83)</f>
        <v>0</v>
      </c>
      <c r="K83" s="136"/>
    </row>
    <row r="84" spans="1:26" x14ac:dyDescent="0.35">
      <c r="A84" s="120" t="s">
        <v>145</v>
      </c>
      <c r="B84" s="57"/>
      <c r="C84" s="32"/>
      <c r="D84" s="132">
        <v>0</v>
      </c>
      <c r="E84" s="57"/>
      <c r="F84" s="133">
        <v>0</v>
      </c>
      <c r="G84" s="57"/>
      <c r="H84" s="134">
        <v>0</v>
      </c>
      <c r="I84" s="135">
        <v>1</v>
      </c>
      <c r="J84" s="53">
        <f>(IF(H84&gt;0,PMT(F84,H84,-D84),0))*(I84)</f>
        <v>0</v>
      </c>
      <c r="K84" s="136"/>
    </row>
    <row r="85" spans="1:26" ht="15" customHeight="1" x14ac:dyDescent="0.35">
      <c r="A85" s="137"/>
      <c r="B85" s="137"/>
      <c r="C85" s="137"/>
      <c r="D85" s="137"/>
      <c r="E85" s="137"/>
      <c r="F85" s="137"/>
      <c r="G85" s="137"/>
      <c r="H85" s="137"/>
      <c r="I85" s="137"/>
      <c r="J85" s="138"/>
      <c r="K85" s="136"/>
      <c r="M85" s="26" t="s">
        <v>43</v>
      </c>
      <c r="U85" s="26" t="s">
        <v>43</v>
      </c>
      <c r="Z85" s="75" t="s">
        <v>43</v>
      </c>
    </row>
    <row r="86" spans="1:26" ht="16" thickBot="1" x14ac:dyDescent="0.4">
      <c r="A86" s="139"/>
      <c r="B86" s="139"/>
      <c r="C86" s="140"/>
      <c r="D86" s="141"/>
      <c r="E86" s="139"/>
      <c r="F86" s="142" t="s">
        <v>146</v>
      </c>
      <c r="G86" s="143"/>
      <c r="H86" s="143"/>
      <c r="I86" s="144"/>
      <c r="J86" s="145">
        <f>SUM(J81:J85)</f>
        <v>0</v>
      </c>
      <c r="K86" s="136"/>
      <c r="M86" s="26" t="s">
        <v>43</v>
      </c>
      <c r="U86" s="26" t="s">
        <v>43</v>
      </c>
      <c r="Z86" s="75" t="s">
        <v>43</v>
      </c>
    </row>
    <row r="87" spans="1:26" ht="21" customHeight="1" thickTop="1" x14ac:dyDescent="0.35">
      <c r="A87" s="104" t="s">
        <v>147</v>
      </c>
      <c r="B87" s="146"/>
      <c r="D87" s="147" t="s">
        <v>148</v>
      </c>
      <c r="E87" s="32"/>
      <c r="F87" s="32"/>
      <c r="G87" s="32"/>
      <c r="H87" s="32"/>
      <c r="I87" s="32"/>
      <c r="J87" s="32"/>
      <c r="K87" s="21"/>
      <c r="M87" s="26" t="s">
        <v>43</v>
      </c>
      <c r="U87" s="26" t="s">
        <v>43</v>
      </c>
    </row>
    <row r="88" spans="1:26" ht="24" customHeight="1" x14ac:dyDescent="0.35">
      <c r="A88" s="36">
        <f>E4</f>
        <v>100</v>
      </c>
      <c r="B88" s="30" t="s">
        <v>149</v>
      </c>
      <c r="C88" s="34"/>
      <c r="D88" s="36">
        <f>ROUND(((E4/A6)+0.25),0)</f>
        <v>3</v>
      </c>
      <c r="E88" s="30" t="s">
        <v>150</v>
      </c>
      <c r="F88" s="32"/>
      <c r="G88" s="32"/>
      <c r="H88" s="32"/>
      <c r="I88" s="32"/>
      <c r="J88" s="32"/>
      <c r="K88" s="148"/>
      <c r="M88" s="26" t="s">
        <v>43</v>
      </c>
      <c r="O88" s="86" t="s">
        <v>43</v>
      </c>
      <c r="U88" s="26" t="s">
        <v>43</v>
      </c>
      <c r="Z88" s="75" t="s">
        <v>43</v>
      </c>
    </row>
    <row r="89" spans="1:26" x14ac:dyDescent="0.35">
      <c r="A89" s="120" t="s">
        <v>151</v>
      </c>
      <c r="B89" s="57"/>
      <c r="C89" s="57"/>
      <c r="D89" s="111">
        <v>2</v>
      </c>
      <c r="E89" s="46" t="s">
        <v>152</v>
      </c>
      <c r="F89" s="149">
        <v>1.51</v>
      </c>
      <c r="G89" s="46" t="s">
        <v>153</v>
      </c>
      <c r="H89" s="32"/>
      <c r="I89" s="53">
        <f>D89*F89</f>
        <v>3.02</v>
      </c>
      <c r="J89" s="74"/>
      <c r="K89" s="148"/>
      <c r="M89" s="26"/>
      <c r="O89" s="86" t="s">
        <v>43</v>
      </c>
      <c r="U89" s="26" t="s">
        <v>43</v>
      </c>
      <c r="Z89" s="75" t="s">
        <v>43</v>
      </c>
    </row>
    <row r="90" spans="1:26" x14ac:dyDescent="0.35">
      <c r="A90" s="120" t="s">
        <v>154</v>
      </c>
      <c r="B90" s="150">
        <v>1200</v>
      </c>
      <c r="C90" s="57" t="s">
        <v>155</v>
      </c>
      <c r="D90" s="111">
        <v>0</v>
      </c>
      <c r="E90" s="46" t="s">
        <v>156</v>
      </c>
      <c r="F90" s="149">
        <v>62.2</v>
      </c>
      <c r="G90" s="46" t="s">
        <v>157</v>
      </c>
      <c r="H90" s="32"/>
      <c r="I90" s="53">
        <f>(B90*D90/100)*(F90/1000)</f>
        <v>0</v>
      </c>
      <c r="J90" s="74"/>
      <c r="K90" s="148"/>
      <c r="M90" s="151"/>
      <c r="U90" s="26"/>
      <c r="Z90" s="75" t="s">
        <v>43</v>
      </c>
    </row>
    <row r="91" spans="1:26" x14ac:dyDescent="0.35">
      <c r="A91" s="120" t="s">
        <v>158</v>
      </c>
      <c r="B91" s="150">
        <v>1200</v>
      </c>
      <c r="C91" s="57" t="s">
        <v>155</v>
      </c>
      <c r="D91" s="111">
        <v>3</v>
      </c>
      <c r="E91" s="46" t="s">
        <v>156</v>
      </c>
      <c r="F91" s="149">
        <f>(110.07/3.774)</f>
        <v>29.165341812400634</v>
      </c>
      <c r="G91" s="46" t="s">
        <v>157</v>
      </c>
      <c r="H91" s="32"/>
      <c r="I91" s="53">
        <f>IF(B91&lt;100,(B91*D91/100)*(F91/1000),30/1000)</f>
        <v>0.03</v>
      </c>
      <c r="J91" s="74"/>
      <c r="K91" s="148"/>
      <c r="M91" s="151"/>
      <c r="U91" s="26"/>
      <c r="Z91" s="75" t="s">
        <v>43</v>
      </c>
    </row>
    <row r="92" spans="1:26" x14ac:dyDescent="0.35">
      <c r="A92" s="648" t="s">
        <v>159</v>
      </c>
      <c r="B92" s="648"/>
      <c r="C92" s="57"/>
      <c r="D92" s="111">
        <v>2</v>
      </c>
      <c r="E92" s="46" t="s">
        <v>160</v>
      </c>
      <c r="F92" s="149">
        <v>1.58</v>
      </c>
      <c r="G92" s="46" t="s">
        <v>161</v>
      </c>
      <c r="H92" s="32"/>
      <c r="I92" s="53">
        <f>D92*F92</f>
        <v>3.16</v>
      </c>
      <c r="J92" s="74"/>
      <c r="K92" s="148"/>
      <c r="M92" s="152"/>
      <c r="U92" s="26"/>
      <c r="Z92" s="75"/>
    </row>
    <row r="93" spans="1:26" x14ac:dyDescent="0.35">
      <c r="A93" s="648" t="s">
        <v>162</v>
      </c>
      <c r="B93" s="616"/>
      <c r="C93" s="57"/>
      <c r="D93" s="111">
        <v>1</v>
      </c>
      <c r="E93" s="46" t="s">
        <v>160</v>
      </c>
      <c r="F93" s="149">
        <v>2.04</v>
      </c>
      <c r="G93" s="46" t="s">
        <v>161</v>
      </c>
      <c r="H93" s="32"/>
      <c r="I93" s="53">
        <f>D93*F93</f>
        <v>2.04</v>
      </c>
      <c r="J93" s="74"/>
      <c r="K93" s="148"/>
      <c r="M93" s="152"/>
      <c r="U93" s="26"/>
      <c r="Z93" s="75"/>
    </row>
    <row r="94" spans="1:26" x14ac:dyDescent="0.35">
      <c r="A94" s="120" t="s">
        <v>163</v>
      </c>
      <c r="B94" s="150"/>
      <c r="C94" s="57"/>
      <c r="D94" s="111">
        <v>0</v>
      </c>
      <c r="E94" s="46" t="s">
        <v>164</v>
      </c>
      <c r="F94" s="149">
        <v>27</v>
      </c>
      <c r="G94" s="46" t="s">
        <v>165</v>
      </c>
      <c r="H94" s="32"/>
      <c r="I94" s="53">
        <f>D94*F94</f>
        <v>0</v>
      </c>
      <c r="J94" s="74"/>
      <c r="K94" s="148"/>
      <c r="M94" s="151"/>
      <c r="U94" s="26"/>
      <c r="Z94" s="75"/>
    </row>
    <row r="95" spans="1:26" x14ac:dyDescent="0.35">
      <c r="A95" s="120" t="s">
        <v>166</v>
      </c>
      <c r="B95" s="57"/>
      <c r="C95" s="57"/>
      <c r="D95" s="111">
        <v>0</v>
      </c>
      <c r="E95" s="46" t="s">
        <v>167</v>
      </c>
      <c r="F95" s="149">
        <v>3.5</v>
      </c>
      <c r="G95" s="46" t="s">
        <v>165</v>
      </c>
      <c r="H95" s="32"/>
      <c r="I95" s="53">
        <f>D95*F95</f>
        <v>0</v>
      </c>
      <c r="J95" s="74"/>
      <c r="K95" s="148"/>
      <c r="M95" s="152"/>
      <c r="U95" s="26"/>
      <c r="Z95" s="75"/>
    </row>
    <row r="96" spans="1:26" ht="16" customHeight="1" x14ac:dyDescent="0.35">
      <c r="A96" s="127"/>
      <c r="B96" s="126" t="s">
        <v>168</v>
      </c>
      <c r="C96" s="94"/>
      <c r="D96" s="127"/>
      <c r="E96" s="127"/>
      <c r="F96" s="153"/>
      <c r="G96" s="127"/>
      <c r="H96" s="127"/>
      <c r="I96" s="127"/>
      <c r="J96" s="53">
        <f>ROUND((A88+D88)*(SUM(I89:I93))+((A88-A112)*SUM(I94:I95)),2)</f>
        <v>849.75</v>
      </c>
      <c r="K96" s="148"/>
      <c r="M96" s="152"/>
      <c r="Z96" s="75"/>
    </row>
    <row r="97" spans="1:26" ht="24" customHeight="1" x14ac:dyDescent="0.35">
      <c r="A97" s="36">
        <f>ROUND(((E4*(G5/100))+0.25),0)</f>
        <v>85</v>
      </c>
      <c r="B97" s="30" t="s">
        <v>169</v>
      </c>
      <c r="C97" s="32"/>
      <c r="D97" s="32"/>
      <c r="E97" s="32"/>
      <c r="F97" s="154"/>
      <c r="G97" s="32"/>
      <c r="H97" s="32"/>
      <c r="I97" s="74"/>
      <c r="J97" s="74"/>
      <c r="K97" s="21"/>
    </row>
    <row r="98" spans="1:26" x14ac:dyDescent="0.35">
      <c r="A98" s="120" t="s">
        <v>151</v>
      </c>
      <c r="B98" s="57"/>
      <c r="C98" s="57"/>
      <c r="D98" s="111">
        <v>2</v>
      </c>
      <c r="E98" s="46" t="s">
        <v>152</v>
      </c>
      <c r="F98" s="149">
        <v>1.51</v>
      </c>
      <c r="G98" s="46" t="s">
        <v>153</v>
      </c>
      <c r="H98" s="32"/>
      <c r="I98" s="53">
        <f>D98*F98</f>
        <v>3.02</v>
      </c>
      <c r="J98" s="74"/>
      <c r="K98" s="21"/>
      <c r="O98" s="26"/>
      <c r="P98" s="152"/>
      <c r="Q98" s="152"/>
      <c r="R98" s="152"/>
      <c r="S98" s="152"/>
    </row>
    <row r="99" spans="1:26" x14ac:dyDescent="0.35">
      <c r="A99" s="648" t="s">
        <v>170</v>
      </c>
      <c r="B99" s="648"/>
      <c r="C99" s="57"/>
      <c r="D99" s="111">
        <v>2</v>
      </c>
      <c r="E99" s="46" t="s">
        <v>160</v>
      </c>
      <c r="F99" s="149">
        <f>(3.11+0.56)/2</f>
        <v>1.835</v>
      </c>
      <c r="G99" s="46" t="s">
        <v>161</v>
      </c>
      <c r="H99" s="32"/>
      <c r="I99" s="53">
        <f>D99*F99</f>
        <v>3.67</v>
      </c>
      <c r="J99" s="74"/>
      <c r="K99" s="148"/>
      <c r="M99" s="152"/>
      <c r="U99" s="26"/>
      <c r="Z99" s="75"/>
    </row>
    <row r="100" spans="1:26" x14ac:dyDescent="0.35">
      <c r="A100" s="648" t="s">
        <v>171</v>
      </c>
      <c r="B100" s="616"/>
      <c r="C100" s="57"/>
      <c r="D100" s="111">
        <v>1</v>
      </c>
      <c r="E100" s="46" t="s">
        <v>160</v>
      </c>
      <c r="F100" s="149">
        <v>1.63</v>
      </c>
      <c r="G100" s="46" t="s">
        <v>161</v>
      </c>
      <c r="H100" s="32"/>
      <c r="I100" s="53">
        <f>D100*F100</f>
        <v>1.63</v>
      </c>
      <c r="J100" s="74"/>
      <c r="K100" s="148"/>
      <c r="M100" s="152"/>
      <c r="U100" s="26"/>
      <c r="Z100" s="75"/>
    </row>
    <row r="101" spans="1:26" x14ac:dyDescent="0.35">
      <c r="A101" s="120" t="s">
        <v>172</v>
      </c>
      <c r="B101" s="57"/>
      <c r="C101" s="57"/>
      <c r="D101" s="111">
        <v>1</v>
      </c>
      <c r="E101" s="46" t="s">
        <v>160</v>
      </c>
      <c r="F101" s="149">
        <v>0.36</v>
      </c>
      <c r="G101" s="46" t="s">
        <v>161</v>
      </c>
      <c r="H101" s="32"/>
      <c r="I101" s="53">
        <f>D101*F101</f>
        <v>0.36</v>
      </c>
      <c r="J101" s="74"/>
      <c r="K101" s="21"/>
      <c r="L101" s="55" t="s">
        <v>43</v>
      </c>
      <c r="M101" s="26" t="s">
        <v>43</v>
      </c>
      <c r="N101" s="55" t="s">
        <v>43</v>
      </c>
      <c r="U101" s="26" t="s">
        <v>43</v>
      </c>
    </row>
    <row r="102" spans="1:26" x14ac:dyDescent="0.35">
      <c r="A102" s="120" t="s">
        <v>154</v>
      </c>
      <c r="B102" s="150">
        <v>350</v>
      </c>
      <c r="C102" s="57" t="s">
        <v>155</v>
      </c>
      <c r="D102" s="111">
        <v>5</v>
      </c>
      <c r="E102" s="46" t="s">
        <v>156</v>
      </c>
      <c r="F102" s="149">
        <v>62.2</v>
      </c>
      <c r="G102" s="46" t="s">
        <v>157</v>
      </c>
      <c r="H102" s="32"/>
      <c r="I102" s="53">
        <f>(B102*D102/100)*(F102/1000)</f>
        <v>1.0885</v>
      </c>
      <c r="J102" s="74"/>
      <c r="K102" s="148"/>
      <c r="M102" s="151"/>
      <c r="U102" s="26"/>
      <c r="Z102" s="75" t="s">
        <v>43</v>
      </c>
    </row>
    <row r="103" spans="1:26" x14ac:dyDescent="0.35">
      <c r="A103" s="120" t="s">
        <v>173</v>
      </c>
      <c r="B103" s="57"/>
      <c r="C103" s="57"/>
      <c r="D103" s="111">
        <v>2</v>
      </c>
      <c r="E103" s="46" t="s">
        <v>174</v>
      </c>
      <c r="F103" s="149">
        <v>1.25</v>
      </c>
      <c r="G103" s="46" t="s">
        <v>175</v>
      </c>
      <c r="H103" s="32"/>
      <c r="I103" s="53">
        <f>D103*F103</f>
        <v>2.5</v>
      </c>
      <c r="J103" s="74"/>
      <c r="K103" s="21"/>
      <c r="L103" s="155"/>
      <c r="M103" s="156"/>
      <c r="N103" s="155"/>
      <c r="O103" s="155"/>
      <c r="P103" s="155"/>
      <c r="U103" s="26"/>
      <c r="Z103" s="75"/>
    </row>
    <row r="104" spans="1:26" ht="20.25" customHeight="1" x14ac:dyDescent="0.35">
      <c r="A104" s="127"/>
      <c r="B104" s="126" t="s">
        <v>176</v>
      </c>
      <c r="C104" s="127"/>
      <c r="D104" s="94"/>
      <c r="E104" s="127"/>
      <c r="F104" s="127"/>
      <c r="G104" s="127"/>
      <c r="H104" s="127"/>
      <c r="I104" s="127"/>
      <c r="J104" s="53">
        <f>ROUND((SUM(I98:I102)*A97)+(I103*(A97/2)),2)</f>
        <v>936.57</v>
      </c>
      <c r="K104" s="21"/>
      <c r="L104" s="155"/>
      <c r="M104" s="156"/>
      <c r="N104" s="155"/>
      <c r="O104" s="155"/>
      <c r="P104" s="155"/>
      <c r="U104" s="26" t="s">
        <v>43</v>
      </c>
      <c r="Z104" s="75" t="s">
        <v>43</v>
      </c>
    </row>
    <row r="105" spans="1:26" ht="21" customHeight="1" x14ac:dyDescent="0.35">
      <c r="A105" s="36">
        <f>G68</f>
        <v>14</v>
      </c>
      <c r="B105" s="30" t="s">
        <v>177</v>
      </c>
      <c r="C105" s="32"/>
      <c r="D105" s="32"/>
      <c r="E105" s="32"/>
      <c r="F105" s="154"/>
      <c r="G105" s="32"/>
      <c r="H105" s="32"/>
      <c r="I105" s="74"/>
      <c r="J105" s="74"/>
      <c r="K105" s="157"/>
      <c r="L105" s="55" t="s">
        <v>43</v>
      </c>
      <c r="M105" s="26" t="s">
        <v>43</v>
      </c>
      <c r="N105" s="55" t="s">
        <v>43</v>
      </c>
      <c r="U105" s="26" t="s">
        <v>43</v>
      </c>
      <c r="Z105" s="75" t="s">
        <v>43</v>
      </c>
    </row>
    <row r="106" spans="1:26" x14ac:dyDescent="0.35">
      <c r="A106" s="120" t="s">
        <v>178</v>
      </c>
      <c r="B106" s="57"/>
      <c r="C106" s="57"/>
      <c r="D106" s="111">
        <v>1</v>
      </c>
      <c r="E106" s="46" t="s">
        <v>160</v>
      </c>
      <c r="F106" s="149">
        <v>3.5</v>
      </c>
      <c r="G106" s="46" t="s">
        <v>161</v>
      </c>
      <c r="H106" s="32"/>
      <c r="I106" s="53">
        <f>D106*F106</f>
        <v>3.5</v>
      </c>
      <c r="J106" s="74"/>
      <c r="K106" s="157"/>
      <c r="L106" s="155"/>
      <c r="M106" s="156"/>
      <c r="N106" s="155"/>
      <c r="O106" s="155"/>
      <c r="P106" s="155"/>
      <c r="U106" s="26" t="s">
        <v>43</v>
      </c>
      <c r="Z106" s="75" t="s">
        <v>43</v>
      </c>
    </row>
    <row r="107" spans="1:26" ht="15" customHeight="1" x14ac:dyDescent="0.35">
      <c r="A107" s="120" t="s">
        <v>151</v>
      </c>
      <c r="B107" s="57"/>
      <c r="C107" s="57"/>
      <c r="D107" s="111">
        <v>2</v>
      </c>
      <c r="E107" s="46" t="s">
        <v>152</v>
      </c>
      <c r="F107" s="149">
        <v>1.51</v>
      </c>
      <c r="G107" s="46" t="s">
        <v>153</v>
      </c>
      <c r="H107" s="32"/>
      <c r="I107" s="53">
        <f>D107*F107</f>
        <v>3.02</v>
      </c>
      <c r="J107" s="74"/>
      <c r="K107" s="157"/>
      <c r="L107" s="55"/>
      <c r="M107" s="26"/>
      <c r="N107" s="55"/>
      <c r="U107" s="26"/>
      <c r="Z107" s="75"/>
    </row>
    <row r="108" spans="1:26" ht="15" customHeight="1" x14ac:dyDescent="0.35">
      <c r="A108" s="648" t="s">
        <v>159</v>
      </c>
      <c r="B108" s="648"/>
      <c r="C108" s="57"/>
      <c r="D108" s="111">
        <v>2</v>
      </c>
      <c r="E108" s="46" t="s">
        <v>160</v>
      </c>
      <c r="F108" s="149">
        <v>1.58</v>
      </c>
      <c r="G108" s="46" t="s">
        <v>161</v>
      </c>
      <c r="H108" s="32"/>
      <c r="I108" s="53">
        <f>D108*F108</f>
        <v>3.16</v>
      </c>
      <c r="J108" s="74"/>
      <c r="K108" s="157"/>
      <c r="L108" s="55"/>
      <c r="M108" s="26"/>
      <c r="N108" s="55"/>
      <c r="U108" s="26"/>
      <c r="Z108" s="75"/>
    </row>
    <row r="109" spans="1:26" x14ac:dyDescent="0.35">
      <c r="A109" s="648" t="s">
        <v>162</v>
      </c>
      <c r="B109" s="616"/>
      <c r="C109" s="57"/>
      <c r="D109" s="111">
        <v>1</v>
      </c>
      <c r="E109" s="46" t="s">
        <v>160</v>
      </c>
      <c r="F109" s="149">
        <v>2.04</v>
      </c>
      <c r="G109" s="46" t="s">
        <v>161</v>
      </c>
      <c r="H109" s="32"/>
      <c r="I109" s="53">
        <f>D109*F109</f>
        <v>2.04</v>
      </c>
      <c r="J109" s="74"/>
      <c r="K109" s="148"/>
      <c r="M109" s="152"/>
      <c r="U109" s="26"/>
      <c r="Z109" s="75"/>
    </row>
    <row r="110" spans="1:26" x14ac:dyDescent="0.35">
      <c r="A110" s="120" t="s">
        <v>154</v>
      </c>
      <c r="B110" s="150">
        <v>750</v>
      </c>
      <c r="C110" s="57" t="s">
        <v>155</v>
      </c>
      <c r="D110" s="111">
        <v>5</v>
      </c>
      <c r="E110" s="46" t="s">
        <v>156</v>
      </c>
      <c r="F110" s="149">
        <v>62.2</v>
      </c>
      <c r="G110" s="46" t="s">
        <v>157</v>
      </c>
      <c r="H110" s="32"/>
      <c r="I110" s="53">
        <f>(B110*D110/100)*(F110/1000)</f>
        <v>2.3325</v>
      </c>
      <c r="J110" s="74"/>
      <c r="K110" s="148"/>
      <c r="M110" s="151"/>
      <c r="U110" s="26"/>
      <c r="Z110" s="75" t="s">
        <v>43</v>
      </c>
    </row>
    <row r="111" spans="1:26" ht="21" customHeight="1" x14ac:dyDescent="0.35">
      <c r="A111" s="127"/>
      <c r="B111" s="126" t="s">
        <v>179</v>
      </c>
      <c r="C111" s="127"/>
      <c r="D111" s="127"/>
      <c r="E111" s="127"/>
      <c r="F111" s="153"/>
      <c r="G111" s="127"/>
      <c r="H111" s="127"/>
      <c r="I111" s="127"/>
      <c r="J111" s="53">
        <f>ROUND(A105*(SUM(I106:I110)),2)</f>
        <v>196.74</v>
      </c>
      <c r="K111" s="157"/>
      <c r="L111" s="55" t="s">
        <v>43</v>
      </c>
      <c r="M111" s="26" t="s">
        <v>43</v>
      </c>
      <c r="N111" s="55" t="s">
        <v>43</v>
      </c>
      <c r="U111" s="26" t="s">
        <v>43</v>
      </c>
      <c r="Z111" s="75" t="s">
        <v>43</v>
      </c>
    </row>
    <row r="112" spans="1:26" ht="21" customHeight="1" x14ac:dyDescent="0.35">
      <c r="A112" s="36">
        <f>H68</f>
        <v>13</v>
      </c>
      <c r="B112" s="30" t="s">
        <v>180</v>
      </c>
      <c r="C112" s="32"/>
      <c r="D112" s="32"/>
      <c r="E112" s="32"/>
      <c r="F112" s="158" t="s">
        <v>181</v>
      </c>
      <c r="G112" s="32"/>
      <c r="H112" s="32"/>
      <c r="I112" s="74"/>
      <c r="J112" s="74"/>
      <c r="K112" s="157"/>
      <c r="L112" s="55" t="s">
        <v>43</v>
      </c>
      <c r="M112" s="26" t="s">
        <v>43</v>
      </c>
      <c r="N112" s="55" t="s">
        <v>43</v>
      </c>
      <c r="U112" s="26" t="s">
        <v>43</v>
      </c>
      <c r="Z112" s="75" t="s">
        <v>43</v>
      </c>
    </row>
    <row r="113" spans="1:26" x14ac:dyDescent="0.35">
      <c r="A113" s="120" t="s">
        <v>154</v>
      </c>
      <c r="B113" s="150">
        <v>1050</v>
      </c>
      <c r="C113" s="57" t="s">
        <v>155</v>
      </c>
      <c r="D113" s="111">
        <v>5</v>
      </c>
      <c r="E113" s="46" t="s">
        <v>156</v>
      </c>
      <c r="F113" s="149">
        <v>62.2</v>
      </c>
      <c r="G113" s="46" t="s">
        <v>157</v>
      </c>
      <c r="H113" s="32"/>
      <c r="I113" s="53">
        <f>(B113*D113/100)*(F113/1000)</f>
        <v>3.2655000000000003</v>
      </c>
      <c r="J113" s="74"/>
      <c r="K113" s="148"/>
      <c r="M113" s="151"/>
      <c r="U113" s="26"/>
      <c r="Z113" s="75" t="s">
        <v>43</v>
      </c>
    </row>
    <row r="114" spans="1:26" x14ac:dyDescent="0.35">
      <c r="A114" s="120" t="s">
        <v>163</v>
      </c>
      <c r="B114" s="150"/>
      <c r="C114" s="57"/>
      <c r="D114" s="111">
        <v>1</v>
      </c>
      <c r="E114" s="46" t="s">
        <v>164</v>
      </c>
      <c r="F114" s="149">
        <v>27</v>
      </c>
      <c r="G114" s="46" t="s">
        <v>165</v>
      </c>
      <c r="H114" s="32"/>
      <c r="I114" s="53">
        <f>D114*F114</f>
        <v>27</v>
      </c>
      <c r="J114" s="74"/>
      <c r="K114" s="148"/>
      <c r="M114" s="151"/>
      <c r="U114" s="26"/>
      <c r="Z114" s="75"/>
    </row>
    <row r="115" spans="1:26" x14ac:dyDescent="0.35">
      <c r="A115" s="120" t="s">
        <v>166</v>
      </c>
      <c r="B115" s="57"/>
      <c r="C115" s="57"/>
      <c r="D115" s="111">
        <v>1</v>
      </c>
      <c r="E115" s="46" t="s">
        <v>167</v>
      </c>
      <c r="F115" s="149">
        <v>3.5</v>
      </c>
      <c r="G115" s="46" t="s">
        <v>165</v>
      </c>
      <c r="H115" s="32"/>
      <c r="I115" s="53">
        <f>D115*F115</f>
        <v>3.5</v>
      </c>
      <c r="J115" s="74"/>
      <c r="K115" s="148"/>
      <c r="M115" s="152"/>
      <c r="U115" s="26"/>
      <c r="Z115" s="75"/>
    </row>
    <row r="116" spans="1:26" ht="21" customHeight="1" x14ac:dyDescent="0.35">
      <c r="A116" s="127"/>
      <c r="B116" s="126" t="s">
        <v>182</v>
      </c>
      <c r="C116" s="127"/>
      <c r="D116" s="127"/>
      <c r="E116" s="127"/>
      <c r="F116" s="127"/>
      <c r="G116" s="127"/>
      <c r="H116" s="127"/>
      <c r="I116" s="127"/>
      <c r="J116" s="53">
        <f>ROUND(SUM(I113:I115)*A112,2)</f>
        <v>438.95</v>
      </c>
      <c r="K116" s="21"/>
      <c r="L116" s="55" t="s">
        <v>43</v>
      </c>
      <c r="M116" s="26" t="s">
        <v>43</v>
      </c>
      <c r="N116" s="55" t="s">
        <v>43</v>
      </c>
      <c r="U116" s="26" t="s">
        <v>43</v>
      </c>
    </row>
    <row r="117" spans="1:26" ht="24" customHeight="1" x14ac:dyDescent="0.35">
      <c r="A117" s="648" t="s">
        <v>183</v>
      </c>
      <c r="B117" s="649"/>
      <c r="D117" s="111">
        <v>1</v>
      </c>
      <c r="E117" s="32" t="s">
        <v>184</v>
      </c>
      <c r="F117" s="159">
        <v>250</v>
      </c>
      <c r="G117" s="46" t="s">
        <v>185</v>
      </c>
      <c r="H117" s="160" t="s">
        <v>186</v>
      </c>
      <c r="I117" s="161"/>
      <c r="J117" s="53">
        <f>D117*F117</f>
        <v>250</v>
      </c>
      <c r="K117" s="21"/>
      <c r="L117" s="55" t="s">
        <v>43</v>
      </c>
      <c r="M117" s="26" t="s">
        <v>43</v>
      </c>
      <c r="N117" s="55" t="s">
        <v>43</v>
      </c>
      <c r="U117" s="26" t="s">
        <v>43</v>
      </c>
    </row>
    <row r="118" spans="1:26" ht="12" customHeight="1" x14ac:dyDescent="0.35">
      <c r="A118" s="120" t="s">
        <v>187</v>
      </c>
      <c r="B118" s="46"/>
      <c r="D118" s="111"/>
      <c r="E118" s="32"/>
      <c r="F118" s="159"/>
      <c r="G118" s="46"/>
      <c r="H118" s="32"/>
      <c r="I118" s="74"/>
      <c r="J118" s="53"/>
      <c r="K118" s="21"/>
      <c r="L118" s="55"/>
      <c r="M118" s="26"/>
      <c r="N118" s="55"/>
      <c r="U118" s="26"/>
    </row>
    <row r="119" spans="1:26" ht="20.25" customHeight="1" x14ac:dyDescent="0.35">
      <c r="A119" s="162" t="s">
        <v>188</v>
      </c>
      <c r="B119" s="32"/>
      <c r="C119" s="160" t="s">
        <v>186</v>
      </c>
      <c r="D119" s="160"/>
      <c r="E119" s="160"/>
      <c r="F119" s="160"/>
      <c r="G119" s="160"/>
      <c r="H119" s="160"/>
      <c r="I119" s="160"/>
      <c r="J119" s="163">
        <f>J96+J104+J111+J116+J117</f>
        <v>2672.01</v>
      </c>
      <c r="K119" s="148"/>
      <c r="L119" s="55" t="s">
        <v>43</v>
      </c>
      <c r="M119" s="26"/>
      <c r="N119" s="55"/>
      <c r="U119" s="26" t="s">
        <v>43</v>
      </c>
    </row>
    <row r="120" spans="1:26" ht="16" thickBot="1" x14ac:dyDescent="0.4">
      <c r="A120" s="164"/>
      <c r="B120" s="165"/>
      <c r="C120" s="165"/>
      <c r="D120" s="165"/>
      <c r="E120" s="166"/>
      <c r="F120" s="167"/>
      <c r="G120" s="166"/>
      <c r="H120" s="168"/>
      <c r="I120" s="168"/>
      <c r="J120" s="169"/>
      <c r="K120" s="148"/>
      <c r="L120" s="55"/>
      <c r="M120" s="55"/>
      <c r="N120" s="55"/>
      <c r="S120" s="26" t="s">
        <v>43</v>
      </c>
      <c r="X120" s="75" t="s">
        <v>43</v>
      </c>
    </row>
    <row r="121" spans="1:26" ht="24" customHeight="1" x14ac:dyDescent="0.35">
      <c r="F121" s="170" t="s">
        <v>189</v>
      </c>
      <c r="G121" s="152"/>
      <c r="H121" s="152"/>
      <c r="J121" s="152"/>
      <c r="K121" s="26"/>
      <c r="L121" s="55"/>
      <c r="S121" s="26"/>
      <c r="X121" s="75"/>
    </row>
    <row r="122" spans="1:26" ht="15" customHeight="1" x14ac:dyDescent="0.35">
      <c r="A122" s="647" t="s">
        <v>190</v>
      </c>
      <c r="B122" s="616"/>
      <c r="C122" s="616"/>
      <c r="D122" s="616"/>
      <c r="E122" s="616"/>
      <c r="F122" s="616"/>
      <c r="G122" s="616"/>
      <c r="H122" s="616"/>
      <c r="I122" s="616"/>
      <c r="J122" s="616"/>
      <c r="K122" s="26"/>
      <c r="L122" s="55"/>
      <c r="S122" s="26"/>
      <c r="X122" s="75"/>
    </row>
    <row r="123" spans="1:26" x14ac:dyDescent="0.35">
      <c r="D123" s="171"/>
    </row>
    <row r="124" spans="1:26" x14ac:dyDescent="0.35">
      <c r="D124" s="171"/>
    </row>
    <row r="141" spans="1:10" x14ac:dyDescent="0.35">
      <c r="F141" s="172"/>
    </row>
    <row r="142" spans="1:10" x14ac:dyDescent="0.35">
      <c r="A142" s="26"/>
      <c r="B142" s="26"/>
      <c r="C142" s="26"/>
      <c r="D142" s="26"/>
      <c r="E142" s="26"/>
      <c r="G142" s="26"/>
      <c r="H142" s="26"/>
      <c r="I142" s="26"/>
      <c r="J142" s="26"/>
    </row>
    <row r="156" spans="1:16" x14ac:dyDescent="0.35">
      <c r="B156" s="55"/>
      <c r="C156" s="55"/>
      <c r="L156" s="152"/>
      <c r="M156" s="55"/>
      <c r="N156" s="152"/>
      <c r="O156" s="152"/>
      <c r="P156" s="152"/>
    </row>
    <row r="157" spans="1:16" x14ac:dyDescent="0.35">
      <c r="L157" s="152"/>
      <c r="M157" s="55"/>
      <c r="N157" s="152"/>
      <c r="O157" s="152"/>
      <c r="P157" s="152"/>
    </row>
    <row r="158" spans="1:16" x14ac:dyDescent="0.35">
      <c r="F158" s="172"/>
      <c r="L158" s="152"/>
      <c r="M158" s="55"/>
      <c r="N158" s="152"/>
      <c r="O158" s="152"/>
      <c r="P158" s="152"/>
    </row>
    <row r="159" spans="1:16" x14ac:dyDescent="0.35">
      <c r="A159" s="55"/>
      <c r="B159" s="55"/>
      <c r="C159" s="55"/>
      <c r="D159" s="55"/>
      <c r="E159" s="55"/>
    </row>
    <row r="160" spans="1:16" x14ac:dyDescent="0.35">
      <c r="B160" s="55"/>
      <c r="C160" s="55"/>
      <c r="K160" s="55"/>
      <c r="L160" s="152"/>
      <c r="M160" s="55"/>
      <c r="N160" s="152"/>
      <c r="O160" s="152"/>
      <c r="P160" s="152"/>
    </row>
    <row r="161" spans="2:16" x14ac:dyDescent="0.35">
      <c r="B161" s="55"/>
      <c r="C161" s="55"/>
      <c r="L161" s="152"/>
      <c r="M161" s="55"/>
      <c r="N161" s="152"/>
      <c r="O161" s="152"/>
      <c r="P161" s="152"/>
    </row>
    <row r="162" spans="2:16" x14ac:dyDescent="0.35">
      <c r="B162" s="55"/>
      <c r="C162" s="55"/>
      <c r="L162" s="152"/>
      <c r="M162" s="55"/>
      <c r="N162" s="152"/>
      <c r="O162" s="152"/>
      <c r="P162" s="152"/>
    </row>
    <row r="163" spans="2:16" x14ac:dyDescent="0.35">
      <c r="B163" s="55"/>
      <c r="C163" s="55"/>
      <c r="L163" s="152"/>
      <c r="M163" s="55"/>
      <c r="N163" s="152"/>
      <c r="O163" s="152"/>
      <c r="P163" s="152"/>
    </row>
    <row r="164" spans="2:16" x14ac:dyDescent="0.35">
      <c r="B164" s="55"/>
      <c r="C164" s="55"/>
    </row>
    <row r="165" spans="2:16" x14ac:dyDescent="0.35">
      <c r="B165" s="55"/>
      <c r="C165" s="55"/>
      <c r="L165" s="152"/>
      <c r="M165" s="55"/>
      <c r="N165" s="152"/>
      <c r="O165" s="152"/>
      <c r="P165" s="152"/>
    </row>
    <row r="166" spans="2:16" x14ac:dyDescent="0.35">
      <c r="B166" s="55"/>
      <c r="C166" s="55"/>
      <c r="L166" s="152"/>
      <c r="M166" s="55"/>
      <c r="N166" s="152"/>
      <c r="O166" s="152"/>
      <c r="P166" s="152"/>
    </row>
    <row r="167" spans="2:16" x14ac:dyDescent="0.35">
      <c r="B167" s="55"/>
      <c r="C167" s="55"/>
      <c r="L167" s="152"/>
      <c r="M167" s="55"/>
      <c r="N167" s="152"/>
      <c r="O167" s="152"/>
      <c r="P167" s="152"/>
    </row>
    <row r="168" spans="2:16" x14ac:dyDescent="0.35">
      <c r="B168" s="55"/>
      <c r="C168" s="55"/>
    </row>
    <row r="169" spans="2:16" x14ac:dyDescent="0.35">
      <c r="B169" s="55"/>
      <c r="C169" s="55"/>
    </row>
    <row r="170" spans="2:16" x14ac:dyDescent="0.35">
      <c r="B170" s="55"/>
      <c r="C170" s="55"/>
    </row>
    <row r="171" spans="2:16" x14ac:dyDescent="0.35">
      <c r="B171" s="55"/>
      <c r="C171" s="55"/>
    </row>
    <row r="172" spans="2:16" x14ac:dyDescent="0.35">
      <c r="B172" s="55"/>
      <c r="C172" s="55"/>
    </row>
    <row r="173" spans="2:16" x14ac:dyDescent="0.35">
      <c r="B173" s="55"/>
      <c r="C173" s="55"/>
    </row>
    <row r="174" spans="2:16" x14ac:dyDescent="0.35">
      <c r="B174" s="55"/>
      <c r="C174" s="55"/>
    </row>
    <row r="175" spans="2:16" x14ac:dyDescent="0.35">
      <c r="B175" s="55"/>
      <c r="C175" s="55"/>
    </row>
    <row r="176" spans="2:16" x14ac:dyDescent="0.35">
      <c r="B176" s="55"/>
      <c r="C176" s="55"/>
    </row>
    <row r="177" spans="2:3" x14ac:dyDescent="0.35">
      <c r="B177" s="55"/>
      <c r="C177" s="55"/>
    </row>
    <row r="178" spans="2:3" x14ac:dyDescent="0.35">
      <c r="B178" s="55"/>
      <c r="C178" s="55"/>
    </row>
    <row r="179" spans="2:3" x14ac:dyDescent="0.35">
      <c r="B179" s="55"/>
      <c r="C179" s="55"/>
    </row>
    <row r="180" spans="2:3" x14ac:dyDescent="0.35">
      <c r="B180" s="55"/>
      <c r="C180" s="55"/>
    </row>
    <row r="181" spans="2:3" x14ac:dyDescent="0.35">
      <c r="B181" s="55"/>
      <c r="C181" s="55"/>
    </row>
    <row r="182" spans="2:3" x14ac:dyDescent="0.35">
      <c r="B182" s="55"/>
      <c r="C182" s="55"/>
    </row>
    <row r="183" spans="2:3" x14ac:dyDescent="0.35">
      <c r="B183" s="55"/>
      <c r="C183" s="55"/>
    </row>
    <row r="184" spans="2:3" x14ac:dyDescent="0.35">
      <c r="B184" s="55"/>
      <c r="C184" s="55"/>
    </row>
    <row r="185" spans="2:3" x14ac:dyDescent="0.35">
      <c r="B185" s="55"/>
      <c r="C185" s="55"/>
    </row>
    <row r="186" spans="2:3" x14ac:dyDescent="0.35">
      <c r="B186" s="55"/>
      <c r="C186" s="55"/>
    </row>
    <row r="187" spans="2:3" x14ac:dyDescent="0.35">
      <c r="B187" s="55"/>
      <c r="C187" s="55"/>
    </row>
    <row r="188" spans="2:3" x14ac:dyDescent="0.35">
      <c r="B188" s="55"/>
      <c r="C188" s="55"/>
    </row>
    <row r="189" spans="2:3" x14ac:dyDescent="0.35">
      <c r="B189" s="55"/>
      <c r="C189" s="55"/>
    </row>
    <row r="190" spans="2:3" x14ac:dyDescent="0.35">
      <c r="B190" s="55"/>
      <c r="C190" s="55"/>
    </row>
    <row r="191" spans="2:3" x14ac:dyDescent="0.35">
      <c r="B191" s="55"/>
      <c r="C191" s="55"/>
    </row>
    <row r="192" spans="2:3" x14ac:dyDescent="0.35">
      <c r="B192" s="55"/>
      <c r="C192" s="55"/>
    </row>
    <row r="193" spans="2:3" x14ac:dyDescent="0.35">
      <c r="B193" s="55"/>
      <c r="C193" s="55"/>
    </row>
    <row r="194" spans="2:3" x14ac:dyDescent="0.35">
      <c r="B194" s="55"/>
      <c r="C194" s="55"/>
    </row>
    <row r="195" spans="2:3" x14ac:dyDescent="0.35">
      <c r="B195" s="55"/>
      <c r="C195" s="55"/>
    </row>
    <row r="196" spans="2:3" x14ac:dyDescent="0.35">
      <c r="B196" s="55"/>
      <c r="C196" s="55"/>
    </row>
    <row r="197" spans="2:3" x14ac:dyDescent="0.35">
      <c r="B197" s="55"/>
      <c r="C197" s="55"/>
    </row>
    <row r="198" spans="2:3" x14ac:dyDescent="0.35">
      <c r="B198" s="55"/>
      <c r="C198" s="55"/>
    </row>
    <row r="199" spans="2:3" x14ac:dyDescent="0.35">
      <c r="B199" s="55"/>
      <c r="C199" s="55"/>
    </row>
    <row r="200" spans="2:3" x14ac:dyDescent="0.35">
      <c r="B200" s="55"/>
      <c r="C200" s="55"/>
    </row>
    <row r="201" spans="2:3" x14ac:dyDescent="0.35">
      <c r="B201" s="55"/>
      <c r="C201" s="55"/>
    </row>
    <row r="202" spans="2:3" x14ac:dyDescent="0.35">
      <c r="B202" s="55"/>
      <c r="C202" s="55"/>
    </row>
    <row r="203" spans="2:3" x14ac:dyDescent="0.35">
      <c r="B203" s="55"/>
      <c r="C203" s="55"/>
    </row>
    <row r="204" spans="2:3" x14ac:dyDescent="0.35">
      <c r="B204" s="55"/>
      <c r="C204" s="55"/>
    </row>
    <row r="205" spans="2:3" x14ac:dyDescent="0.35">
      <c r="B205" s="55"/>
      <c r="C205" s="55"/>
    </row>
    <row r="206" spans="2:3" x14ac:dyDescent="0.35">
      <c r="B206" s="55"/>
      <c r="C206" s="55"/>
    </row>
    <row r="207" spans="2:3" x14ac:dyDescent="0.35">
      <c r="B207" s="55"/>
      <c r="C207" s="55"/>
    </row>
    <row r="208" spans="2:3" x14ac:dyDescent="0.35">
      <c r="B208" s="55"/>
      <c r="C208" s="55"/>
    </row>
    <row r="209" spans="2:3" x14ac:dyDescent="0.35">
      <c r="B209" s="55"/>
      <c r="C209" s="55"/>
    </row>
    <row r="210" spans="2:3" x14ac:dyDescent="0.35">
      <c r="B210" s="55"/>
      <c r="C210" s="55"/>
    </row>
    <row r="211" spans="2:3" x14ac:dyDescent="0.35">
      <c r="B211" s="55"/>
      <c r="C211" s="55"/>
    </row>
    <row r="212" spans="2:3" x14ac:dyDescent="0.35">
      <c r="B212" s="55"/>
      <c r="C212" s="55"/>
    </row>
    <row r="213" spans="2:3" x14ac:dyDescent="0.35">
      <c r="B213" s="55"/>
      <c r="C213" s="55"/>
    </row>
    <row r="214" spans="2:3" x14ac:dyDescent="0.35">
      <c r="B214" s="55"/>
      <c r="C214" s="55"/>
    </row>
    <row r="215" spans="2:3" x14ac:dyDescent="0.35">
      <c r="B215" s="55"/>
      <c r="C215" s="55"/>
    </row>
    <row r="216" spans="2:3" x14ac:dyDescent="0.35">
      <c r="B216" s="55"/>
      <c r="C216" s="55"/>
    </row>
    <row r="217" spans="2:3" x14ac:dyDescent="0.35">
      <c r="B217" s="55"/>
      <c r="C217" s="55"/>
    </row>
    <row r="218" spans="2:3" x14ac:dyDescent="0.35">
      <c r="B218" s="55"/>
      <c r="C218" s="55"/>
    </row>
    <row r="219" spans="2:3" x14ac:dyDescent="0.35">
      <c r="B219" s="55"/>
      <c r="C219" s="55"/>
    </row>
  </sheetData>
  <mergeCells count="20">
    <mergeCell ref="A92:B92"/>
    <mergeCell ref="A3:J3"/>
    <mergeCell ref="B7:D7"/>
    <mergeCell ref="C30:D30"/>
    <mergeCell ref="C31:D31"/>
    <mergeCell ref="A47:F47"/>
    <mergeCell ref="A50:B50"/>
    <mergeCell ref="D50:J50"/>
    <mergeCell ref="D52:J52"/>
    <mergeCell ref="A62:J62"/>
    <mergeCell ref="A65:F65"/>
    <mergeCell ref="B68:C68"/>
    <mergeCell ref="B69:C69"/>
    <mergeCell ref="A122:J122"/>
    <mergeCell ref="A93:B93"/>
    <mergeCell ref="A99:B99"/>
    <mergeCell ref="A100:B100"/>
    <mergeCell ref="A108:B108"/>
    <mergeCell ref="A109:B109"/>
    <mergeCell ref="A117:B117"/>
  </mergeCells>
  <printOptions horizontalCentered="1"/>
  <pageMargins left="1" right="1" top="0.5" bottom="0.6" header="0.5" footer="0.5"/>
  <pageSetup scale="67" fitToHeight="2" orientation="portrait" horizontalDpi="1200" verticalDpi="1200" r:id="rId1"/>
  <headerFooter alignWithMargins="0"/>
  <rowBreaks count="1" manualBreakCount="1">
    <brk id="63" max="9" man="1"/>
  </row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2373-3609-4EAC-AE2E-DD48180D9701}">
  <sheetPr>
    <pageSetUpPr fitToPage="1"/>
  </sheetPr>
  <dimension ref="A1:K48"/>
  <sheetViews>
    <sheetView showGridLines="0" topLeftCell="A25" zoomScaleNormal="100" workbookViewId="0">
      <selection activeCell="I28" sqref="I28"/>
    </sheetView>
  </sheetViews>
  <sheetFormatPr defaultColWidth="9.1796875" defaultRowHeight="15.5" x14ac:dyDescent="0.35"/>
  <cols>
    <col min="1" max="1" width="2.453125" style="402" customWidth="1"/>
    <col min="2" max="2" width="47.54296875" style="399" customWidth="1"/>
    <col min="3" max="3" width="13.54296875" style="399" customWidth="1"/>
    <col min="4" max="4" width="7.26953125" style="399" customWidth="1"/>
    <col min="5" max="5" width="13.54296875" style="399" customWidth="1"/>
    <col min="6" max="6" width="4.26953125" style="399" customWidth="1"/>
    <col min="7" max="7" width="13.54296875" style="402" customWidth="1"/>
    <col min="8" max="16384" width="9.1796875" style="399"/>
  </cols>
  <sheetData>
    <row r="1" spans="1:8" ht="28.5" customHeight="1" x14ac:dyDescent="0.35">
      <c r="A1" s="668" t="s">
        <v>395</v>
      </c>
      <c r="B1" s="668"/>
      <c r="C1" s="668"/>
      <c r="D1" s="668"/>
      <c r="E1" s="668"/>
      <c r="F1" s="668"/>
      <c r="G1" s="668"/>
      <c r="H1" s="399">
        <v>2020</v>
      </c>
    </row>
    <row r="2" spans="1:8" ht="12" customHeight="1" x14ac:dyDescent="0.35">
      <c r="A2" s="400"/>
      <c r="B2" s="401"/>
      <c r="C2" s="401"/>
      <c r="D2" s="401"/>
      <c r="E2" s="401"/>
      <c r="F2" s="401"/>
      <c r="G2" s="400"/>
    </row>
    <row r="3" spans="1:8" ht="18" customHeight="1" x14ac:dyDescent="0.35">
      <c r="A3" s="402" t="s">
        <v>396</v>
      </c>
      <c r="G3" s="403">
        <v>5435150</v>
      </c>
    </row>
    <row r="4" spans="1:8" x14ac:dyDescent="0.35">
      <c r="C4" s="404" t="s">
        <v>397</v>
      </c>
      <c r="D4" s="404" t="s">
        <v>398</v>
      </c>
      <c r="E4" s="404" t="s">
        <v>399</v>
      </c>
      <c r="F4" s="404"/>
      <c r="G4" s="405"/>
    </row>
    <row r="5" spans="1:8" ht="20.149999999999999" customHeight="1" x14ac:dyDescent="0.35">
      <c r="A5" s="406"/>
      <c r="B5" s="407" t="s">
        <v>400</v>
      </c>
      <c r="C5" s="408"/>
      <c r="D5" s="409"/>
      <c r="E5" s="408"/>
      <c r="F5" s="410" t="s">
        <v>401</v>
      </c>
      <c r="G5" s="411" t="str">
        <f>IF(AND(C5="",E5=""),"",C5-E5)</f>
        <v/>
      </c>
    </row>
    <row r="6" spans="1:8" ht="20.149999999999999" customHeight="1" x14ac:dyDescent="0.35">
      <c r="A6" s="406"/>
      <c r="B6" s="407" t="s">
        <v>402</v>
      </c>
      <c r="C6" s="412"/>
      <c r="D6" s="409"/>
      <c r="E6" s="412"/>
      <c r="F6" s="410" t="s">
        <v>401</v>
      </c>
      <c r="G6" s="411" t="str">
        <f>IF(AND(C6="",E6=""),"",C6-E6)</f>
        <v/>
      </c>
    </row>
    <row r="7" spans="1:8" ht="20.149999999999999" customHeight="1" x14ac:dyDescent="0.35">
      <c r="A7" s="406"/>
      <c r="B7" s="407" t="s">
        <v>403</v>
      </c>
      <c r="C7" s="413"/>
      <c r="D7" s="414"/>
      <c r="E7" s="414"/>
      <c r="F7" s="410" t="s">
        <v>401</v>
      </c>
      <c r="G7" s="408"/>
    </row>
    <row r="8" spans="1:8" ht="20.149999999999999" customHeight="1" x14ac:dyDescent="0.35">
      <c r="A8" s="406"/>
      <c r="B8" s="407" t="s">
        <v>404</v>
      </c>
      <c r="C8" s="413"/>
      <c r="D8" s="414"/>
      <c r="E8" s="414"/>
      <c r="F8" s="410" t="s">
        <v>401</v>
      </c>
      <c r="G8" s="408"/>
    </row>
    <row r="9" spans="1:8" ht="20.149999999999999" customHeight="1" x14ac:dyDescent="0.35">
      <c r="A9" s="406"/>
      <c r="B9" s="407" t="s">
        <v>405</v>
      </c>
      <c r="C9" s="414"/>
      <c r="D9" s="414"/>
      <c r="E9" s="414"/>
      <c r="F9" s="410" t="s">
        <v>401</v>
      </c>
      <c r="G9" s="408"/>
    </row>
    <row r="10" spans="1:8" ht="6.75" customHeight="1" x14ac:dyDescent="0.35">
      <c r="B10" s="415"/>
      <c r="G10" s="416"/>
    </row>
    <row r="11" spans="1:8" ht="20.149999999999999" customHeight="1" x14ac:dyDescent="0.35">
      <c r="A11" s="402" t="s">
        <v>406</v>
      </c>
      <c r="C11" s="404" t="s">
        <v>407</v>
      </c>
      <c r="D11" s="404" t="s">
        <v>398</v>
      </c>
      <c r="E11" s="404" t="s">
        <v>408</v>
      </c>
      <c r="F11" s="404"/>
      <c r="G11" s="405"/>
    </row>
    <row r="12" spans="1:8" ht="20.149999999999999" customHeight="1" x14ac:dyDescent="0.35">
      <c r="B12" s="415" t="s">
        <v>409</v>
      </c>
      <c r="C12" s="403">
        <v>129543</v>
      </c>
      <c r="D12" s="417"/>
      <c r="E12" s="403">
        <v>274075</v>
      </c>
      <c r="F12" s="418" t="s">
        <v>401</v>
      </c>
      <c r="G12" s="419">
        <f t="shared" ref="G12:G14" si="0">IF(AND(C12="",E12=""),"",C12-E12)</f>
        <v>-144532</v>
      </c>
    </row>
    <row r="13" spans="1:8" ht="20.149999999999999" customHeight="1" x14ac:dyDescent="0.35">
      <c r="B13" s="415" t="s">
        <v>410</v>
      </c>
      <c r="C13" s="403">
        <v>1107436</v>
      </c>
      <c r="D13" s="417"/>
      <c r="E13" s="403">
        <v>811867</v>
      </c>
      <c r="F13" s="418" t="s">
        <v>401</v>
      </c>
      <c r="G13" s="419">
        <f t="shared" si="0"/>
        <v>295569</v>
      </c>
    </row>
    <row r="14" spans="1:8" ht="20.149999999999999" customHeight="1" x14ac:dyDescent="0.35">
      <c r="B14" s="415" t="s">
        <v>411</v>
      </c>
      <c r="C14" s="420">
        <v>9990</v>
      </c>
      <c r="D14" s="417"/>
      <c r="E14" s="420">
        <v>0</v>
      </c>
      <c r="F14" s="418" t="s">
        <v>401</v>
      </c>
      <c r="G14" s="419">
        <f t="shared" si="0"/>
        <v>9990</v>
      </c>
    </row>
    <row r="15" spans="1:8" ht="12" customHeight="1" x14ac:dyDescent="0.35">
      <c r="B15" s="415"/>
      <c r="C15" s="421"/>
      <c r="E15" s="421"/>
      <c r="F15" s="421"/>
      <c r="G15" s="422"/>
    </row>
    <row r="16" spans="1:8" ht="20.149999999999999" customHeight="1" thickBot="1" x14ac:dyDescent="0.4">
      <c r="A16" s="423" t="s">
        <v>412</v>
      </c>
      <c r="G16" s="424">
        <f>IF(SUM(G3:G14)=0,"",SUM(G3:G14))</f>
        <v>5596177</v>
      </c>
    </row>
    <row r="17" spans="1:7" ht="6" customHeight="1" x14ac:dyDescent="0.35">
      <c r="A17" s="423"/>
      <c r="G17" s="425"/>
    </row>
    <row r="18" spans="1:7" ht="12" customHeight="1" x14ac:dyDescent="0.35">
      <c r="A18" s="400"/>
      <c r="B18" s="401"/>
      <c r="C18" s="401"/>
      <c r="D18" s="401"/>
      <c r="E18" s="401"/>
      <c r="F18" s="401"/>
      <c r="G18" s="426"/>
    </row>
    <row r="19" spans="1:7" ht="17.25" customHeight="1" x14ac:dyDescent="0.35">
      <c r="A19" s="402" t="s">
        <v>413</v>
      </c>
      <c r="G19" s="403">
        <v>5370770</v>
      </c>
    </row>
    <row r="20" spans="1:7" ht="19.5" customHeight="1" x14ac:dyDescent="0.35">
      <c r="A20" s="423" t="s">
        <v>414</v>
      </c>
      <c r="F20" s="427" t="s">
        <v>415</v>
      </c>
      <c r="G20" s="420">
        <v>444990</v>
      </c>
    </row>
    <row r="21" spans="1:7" ht="19.5" customHeight="1" x14ac:dyDescent="0.35">
      <c r="A21" s="423" t="s">
        <v>416</v>
      </c>
      <c r="F21" s="427" t="s">
        <v>417</v>
      </c>
      <c r="G21" s="428">
        <f>IF(OR(G19="",G20=""),"",G19-G20)</f>
        <v>4925780</v>
      </c>
    </row>
    <row r="22" spans="1:7" ht="20.149999999999999" customHeight="1" x14ac:dyDescent="0.35">
      <c r="A22" s="423" t="s">
        <v>418</v>
      </c>
      <c r="F22" s="418" t="s">
        <v>401</v>
      </c>
      <c r="G22" s="420">
        <v>444990</v>
      </c>
    </row>
    <row r="23" spans="1:7" ht="14.25" customHeight="1" x14ac:dyDescent="0.35">
      <c r="A23" s="399"/>
      <c r="F23" s="427"/>
      <c r="G23" s="416"/>
    </row>
    <row r="24" spans="1:7" ht="20.149999999999999" customHeight="1" x14ac:dyDescent="0.35">
      <c r="A24" s="402" t="s">
        <v>419</v>
      </c>
      <c r="C24" s="404" t="s">
        <v>407</v>
      </c>
      <c r="D24" s="404" t="s">
        <v>398</v>
      </c>
      <c r="E24" s="404" t="s">
        <v>408</v>
      </c>
      <c r="F24" s="404"/>
      <c r="G24" s="422"/>
    </row>
    <row r="25" spans="1:7" ht="20.149999999999999" customHeight="1" x14ac:dyDescent="0.35">
      <c r="B25" s="415" t="s">
        <v>420</v>
      </c>
      <c r="C25" s="403">
        <v>384201</v>
      </c>
      <c r="D25" s="417"/>
      <c r="E25" s="403">
        <v>417009</v>
      </c>
      <c r="F25" s="418" t="s">
        <v>401</v>
      </c>
      <c r="G25" s="419">
        <f t="shared" ref="G25:G29" si="1">IF(AND(C25="",E25=""),"",C25-E25)</f>
        <v>-32808</v>
      </c>
    </row>
    <row r="26" spans="1:7" ht="20.149999999999999" customHeight="1" x14ac:dyDescent="0.35">
      <c r="B26" s="415" t="s">
        <v>421</v>
      </c>
      <c r="C26" s="420"/>
      <c r="D26" s="417"/>
      <c r="E26" s="420"/>
      <c r="F26" s="418" t="s">
        <v>401</v>
      </c>
      <c r="G26" s="419" t="str">
        <f t="shared" si="1"/>
        <v/>
      </c>
    </row>
    <row r="27" spans="1:7" ht="20.149999999999999" customHeight="1" x14ac:dyDescent="0.35">
      <c r="B27" s="415" t="s">
        <v>422</v>
      </c>
      <c r="C27" s="420"/>
      <c r="D27" s="417"/>
      <c r="E27" s="420"/>
      <c r="F27" s="418" t="s">
        <v>401</v>
      </c>
      <c r="G27" s="419" t="str">
        <f t="shared" si="1"/>
        <v/>
      </c>
    </row>
    <row r="28" spans="1:7" ht="20.149999999999999" customHeight="1" x14ac:dyDescent="0.35">
      <c r="B28" s="415" t="s">
        <v>423</v>
      </c>
      <c r="C28" s="420"/>
      <c r="D28" s="417"/>
      <c r="E28" s="420"/>
      <c r="F28" s="418" t="s">
        <v>401</v>
      </c>
      <c r="G28" s="419" t="str">
        <f t="shared" si="1"/>
        <v/>
      </c>
    </row>
    <row r="29" spans="1:7" ht="20.149999999999999" customHeight="1" x14ac:dyDescent="0.35">
      <c r="B29" s="415" t="s">
        <v>424</v>
      </c>
      <c r="C29" s="420"/>
      <c r="D29" s="417"/>
      <c r="E29" s="420"/>
      <c r="F29" s="418" t="s">
        <v>401</v>
      </c>
      <c r="G29" s="419" t="str">
        <f t="shared" si="1"/>
        <v/>
      </c>
    </row>
    <row r="30" spans="1:7" ht="12" customHeight="1" x14ac:dyDescent="0.35">
      <c r="B30" s="415"/>
      <c r="C30" s="429"/>
      <c r="D30" s="417"/>
      <c r="E30" s="429"/>
      <c r="F30" s="417"/>
      <c r="G30" s="430"/>
    </row>
    <row r="31" spans="1:7" ht="20.149999999999999" customHeight="1" x14ac:dyDescent="0.35">
      <c r="A31" s="402" t="s">
        <v>425</v>
      </c>
      <c r="C31" s="404" t="s">
        <v>407</v>
      </c>
      <c r="D31" s="404" t="s">
        <v>398</v>
      </c>
      <c r="E31" s="404" t="s">
        <v>408</v>
      </c>
      <c r="F31" s="404"/>
      <c r="G31" s="422"/>
    </row>
    <row r="32" spans="1:7" ht="20.149999999999999" customHeight="1" x14ac:dyDescent="0.35">
      <c r="B32" s="415" t="s">
        <v>426</v>
      </c>
      <c r="C32" s="403">
        <v>40000</v>
      </c>
      <c r="D32" s="417"/>
      <c r="E32" s="403">
        <v>0</v>
      </c>
      <c r="F32" s="418" t="s">
        <v>415</v>
      </c>
      <c r="G32" s="419">
        <f t="shared" ref="G32:G35" si="2">IF(AND(C32="",E32=""),"",C32-E32)</f>
        <v>40000</v>
      </c>
    </row>
    <row r="33" spans="1:11" ht="20.149999999999999" customHeight="1" x14ac:dyDescent="0.35">
      <c r="B33" s="415" t="s">
        <v>427</v>
      </c>
      <c r="C33" s="403">
        <v>16000</v>
      </c>
      <c r="D33" s="417"/>
      <c r="E33" s="403">
        <v>16000</v>
      </c>
      <c r="F33" s="431" t="s">
        <v>415</v>
      </c>
      <c r="G33" s="419">
        <f t="shared" si="2"/>
        <v>0</v>
      </c>
      <c r="I33" s="399">
        <v>16000</v>
      </c>
      <c r="K33" s="399">
        <v>20000</v>
      </c>
    </row>
    <row r="34" spans="1:11" ht="20.149999999999999" customHeight="1" x14ac:dyDescent="0.35">
      <c r="B34" s="415" t="s">
        <v>428</v>
      </c>
      <c r="C34" s="403">
        <v>82545</v>
      </c>
      <c r="D34" s="417"/>
      <c r="E34" s="403">
        <v>17750</v>
      </c>
      <c r="F34" s="431" t="s">
        <v>415</v>
      </c>
      <c r="G34" s="419">
        <f t="shared" si="2"/>
        <v>64795</v>
      </c>
      <c r="I34" s="399">
        <v>17750</v>
      </c>
      <c r="K34" s="399">
        <v>25000</v>
      </c>
    </row>
    <row r="35" spans="1:11" ht="20.149999999999999" customHeight="1" thickBot="1" x14ac:dyDescent="0.4">
      <c r="A35" s="432"/>
      <c r="B35" s="433" t="s">
        <v>429</v>
      </c>
      <c r="C35" s="434"/>
      <c r="D35" s="435"/>
      <c r="E35" s="434"/>
      <c r="F35" s="436" t="s">
        <v>415</v>
      </c>
      <c r="G35" s="419" t="str">
        <f t="shared" si="2"/>
        <v/>
      </c>
    </row>
    <row r="36" spans="1:11" ht="20.149999999999999" customHeight="1" thickBot="1" x14ac:dyDescent="0.4">
      <c r="A36" s="423" t="s">
        <v>430</v>
      </c>
      <c r="G36" s="437">
        <f>IF(SUM(G21:G29)-SUM(G32:G35)=0,"",SUM(G21:G29)-SUM(G32:G35))</f>
        <v>5233167</v>
      </c>
    </row>
    <row r="37" spans="1:11" ht="6" customHeight="1" x14ac:dyDescent="0.35">
      <c r="A37" s="423"/>
      <c r="G37" s="425"/>
    </row>
    <row r="38" spans="1:11" ht="12" customHeight="1" x14ac:dyDescent="0.35">
      <c r="A38" s="400"/>
      <c r="B38" s="401"/>
      <c r="C38" s="401"/>
      <c r="D38" s="401"/>
      <c r="E38" s="401"/>
      <c r="F38" s="401"/>
      <c r="G38" s="426"/>
    </row>
    <row r="39" spans="1:11" ht="20.149999999999999" customHeight="1" thickBot="1" x14ac:dyDescent="0.4">
      <c r="A39" s="402" t="s">
        <v>431</v>
      </c>
      <c r="G39" s="438">
        <f>IF(G16="",IF(G36="","",-G36),IF(G36="",G16,G16-G36))</f>
        <v>363010</v>
      </c>
    </row>
    <row r="40" spans="1:11" ht="13.5" customHeight="1" thickTop="1" x14ac:dyDescent="0.35">
      <c r="G40" s="422"/>
    </row>
    <row r="41" spans="1:11" ht="16" thickBot="1" x14ac:dyDescent="0.4">
      <c r="A41" s="402" t="s">
        <v>432</v>
      </c>
      <c r="G41" s="438">
        <f>IF(SUM(G3:G9)-G19=0,"",SUM(G3:G9)-G19)</f>
        <v>64380</v>
      </c>
      <c r="H41"/>
    </row>
    <row r="42" spans="1:11" ht="12.75" customHeight="1" thickTop="1" x14ac:dyDescent="0.35">
      <c r="G42" s="422"/>
      <c r="H42"/>
    </row>
    <row r="43" spans="1:11" x14ac:dyDescent="0.35">
      <c r="A43"/>
      <c r="B43" s="402" t="s">
        <v>433</v>
      </c>
      <c r="G43" s="439">
        <f>IF(OR(G39="",G41=""),"",G39-G41)</f>
        <v>298630</v>
      </c>
      <c r="H43"/>
    </row>
    <row r="44" spans="1:11" ht="4.5" customHeight="1" x14ac:dyDescent="0.35">
      <c r="A44"/>
      <c r="B44"/>
      <c r="C44"/>
      <c r="D44"/>
      <c r="E44"/>
      <c r="F44"/>
      <c r="G44"/>
      <c r="H44"/>
    </row>
    <row r="45" spans="1:11" x14ac:dyDescent="0.35">
      <c r="A45"/>
      <c r="B45" s="399" t="s">
        <v>434</v>
      </c>
      <c r="C45"/>
      <c r="D45"/>
      <c r="E45"/>
      <c r="F45"/>
      <c r="G45"/>
      <c r="H45"/>
    </row>
    <row r="46" spans="1:11" x14ac:dyDescent="0.35">
      <c r="B46" s="415" t="s">
        <v>435</v>
      </c>
    </row>
    <row r="48" spans="1:11" ht="30.5" customHeight="1" x14ac:dyDescent="0.35">
      <c r="B48" s="669" t="s">
        <v>436</v>
      </c>
      <c r="C48" s="669"/>
      <c r="D48" s="669"/>
      <c r="E48" s="669"/>
      <c r="F48" s="669"/>
      <c r="G48" s="669"/>
    </row>
  </sheetData>
  <mergeCells count="2">
    <mergeCell ref="A1:G1"/>
    <mergeCell ref="B48:G48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BBB96-8122-4D10-BC8C-814E5575E5B5}">
  <dimension ref="A1:M34"/>
  <sheetViews>
    <sheetView showGridLines="0" workbookViewId="0">
      <selection activeCell="E5" sqref="E5"/>
    </sheetView>
  </sheetViews>
  <sheetFormatPr defaultRowHeight="18.5" x14ac:dyDescent="0.45"/>
  <cols>
    <col min="1" max="2" width="8.7265625" style="357"/>
    <col min="3" max="3" width="32.54296875" style="357" customWidth="1"/>
    <col min="4" max="4" width="10.36328125" style="357" customWidth="1"/>
    <col min="5" max="5" width="51.36328125" style="357" customWidth="1"/>
    <col min="6" max="6" width="9.08984375" style="357" customWidth="1"/>
    <col min="7" max="7" width="31.90625" style="357" bestFit="1" customWidth="1"/>
    <col min="8" max="8" width="8.7265625" style="357"/>
    <col min="9" max="9" width="17" style="357" bestFit="1" customWidth="1"/>
    <col min="10" max="16384" width="8.7265625" style="357"/>
  </cols>
  <sheetData>
    <row r="1" spans="1:13" ht="21" x14ac:dyDescent="0.5">
      <c r="A1" s="590" t="s">
        <v>674</v>
      </c>
    </row>
    <row r="2" spans="1:13" x14ac:dyDescent="0.45">
      <c r="D2" s="358" t="s">
        <v>675</v>
      </c>
      <c r="E2" s="358"/>
      <c r="F2" s="358" t="s">
        <v>676</v>
      </c>
    </row>
    <row r="3" spans="1:13" x14ac:dyDescent="0.45">
      <c r="C3" s="357" t="s">
        <v>677</v>
      </c>
      <c r="D3" s="591">
        <v>500</v>
      </c>
      <c r="E3" s="357" t="s">
        <v>678</v>
      </c>
      <c r="F3" s="591">
        <v>750</v>
      </c>
    </row>
    <row r="4" spans="1:13" x14ac:dyDescent="0.45">
      <c r="C4" s="357" t="s">
        <v>679</v>
      </c>
      <c r="D4" s="592">
        <v>0.4</v>
      </c>
      <c r="E4" s="357" t="s">
        <v>680</v>
      </c>
      <c r="F4" s="592">
        <v>0.4</v>
      </c>
    </row>
    <row r="5" spans="1:13" x14ac:dyDescent="0.45">
      <c r="C5" s="357" t="s">
        <v>681</v>
      </c>
      <c r="D5" s="591">
        <v>25</v>
      </c>
      <c r="E5" s="357" t="s">
        <v>354</v>
      </c>
      <c r="F5" s="591">
        <v>25</v>
      </c>
    </row>
    <row r="6" spans="1:13" x14ac:dyDescent="0.45">
      <c r="C6" s="357" t="s">
        <v>682</v>
      </c>
      <c r="D6" s="592">
        <v>0.05</v>
      </c>
      <c r="E6" s="357" t="s">
        <v>683</v>
      </c>
      <c r="F6" s="592">
        <v>0.05</v>
      </c>
    </row>
    <row r="7" spans="1:13" x14ac:dyDescent="0.45">
      <c r="C7" s="357" t="s">
        <v>684</v>
      </c>
      <c r="D7" s="591">
        <v>14</v>
      </c>
      <c r="E7" s="357" t="s">
        <v>354</v>
      </c>
      <c r="F7" s="591">
        <v>14</v>
      </c>
    </row>
    <row r="8" spans="1:13" x14ac:dyDescent="0.45">
      <c r="C8" s="357" t="s">
        <v>685</v>
      </c>
      <c r="D8" s="592">
        <v>0.5</v>
      </c>
      <c r="E8" s="357" t="s">
        <v>686</v>
      </c>
      <c r="F8" s="592">
        <v>0.5</v>
      </c>
    </row>
    <row r="9" spans="1:13" x14ac:dyDescent="0.45">
      <c r="C9" s="357" t="s">
        <v>687</v>
      </c>
      <c r="D9" s="592">
        <v>0.06</v>
      </c>
      <c r="E9" s="357" t="s">
        <v>688</v>
      </c>
      <c r="F9" s="592">
        <v>0.06</v>
      </c>
    </row>
    <row r="10" spans="1:13" ht="9.5" customHeight="1" x14ac:dyDescent="0.45">
      <c r="A10" s="593"/>
      <c r="B10" s="593"/>
      <c r="C10" s="593"/>
      <c r="D10" s="593"/>
      <c r="E10" s="593"/>
      <c r="F10" s="593"/>
      <c r="G10" s="593"/>
      <c r="H10" s="593"/>
      <c r="I10" s="593"/>
      <c r="J10" s="593"/>
      <c r="K10" s="593"/>
      <c r="L10" s="593"/>
      <c r="M10" s="593"/>
    </row>
    <row r="11" spans="1:13" x14ac:dyDescent="0.45">
      <c r="A11" s="358"/>
    </row>
    <row r="12" spans="1:13" x14ac:dyDescent="0.45">
      <c r="D12" s="358" t="s">
        <v>675</v>
      </c>
      <c r="E12" s="358"/>
      <c r="F12" s="358" t="s">
        <v>676</v>
      </c>
    </row>
    <row r="13" spans="1:13" x14ac:dyDescent="0.45">
      <c r="B13" s="358" t="s">
        <v>689</v>
      </c>
      <c r="D13" s="357" t="str">
        <f>ROUND(D3*0.9,0)&amp;" to "&amp;ROUND(D3*1.1,0)&amp;" heifers (total)"</f>
        <v>450 to 550 heifers (total)</v>
      </c>
      <c r="F13" s="357" t="str">
        <f>ROUND(F3*0.9,0)&amp;" to "&amp;ROUND(F3*1.1,0)&amp;" heifers (total)"</f>
        <v>675 to 825 heifers (total)</v>
      </c>
    </row>
    <row r="14" spans="1:13" x14ac:dyDescent="0.45">
      <c r="B14" s="358"/>
    </row>
    <row r="15" spans="1:13" x14ac:dyDescent="0.45">
      <c r="B15" s="358"/>
      <c r="C15" s="357" t="s">
        <v>690</v>
      </c>
    </row>
    <row r="16" spans="1:13" ht="8" customHeight="1" x14ac:dyDescent="0.45">
      <c r="A16" s="593"/>
      <c r="B16" s="594"/>
      <c r="C16" s="593"/>
      <c r="D16" s="593"/>
      <c r="E16" s="593"/>
      <c r="F16" s="593"/>
      <c r="G16" s="593"/>
      <c r="H16" s="593"/>
      <c r="I16" s="593"/>
      <c r="J16" s="593"/>
      <c r="K16" s="593"/>
      <c r="L16" s="593"/>
      <c r="M16" s="593"/>
    </row>
    <row r="17" spans="1:13" x14ac:dyDescent="0.45">
      <c r="B17" s="358" t="s">
        <v>691</v>
      </c>
      <c r="D17" s="595">
        <f>ROUND(D24,0)</f>
        <v>219</v>
      </c>
      <c r="E17" s="596" t="str">
        <f>"or "&amp;ROUND(D17/$D$3*100,0)&amp;"% of all cows"</f>
        <v>or 44% of all cows</v>
      </c>
      <c r="F17" s="595">
        <f>ROUND(F24,0)</f>
        <v>328</v>
      </c>
      <c r="G17" s="596" t="str">
        <f>"or "&amp;ROUND(F17/$F$3*100,0)&amp;"% of all cows"</f>
        <v>or 44% of all cows</v>
      </c>
    </row>
    <row r="18" spans="1:13" x14ac:dyDescent="0.45">
      <c r="B18" s="358"/>
      <c r="D18" s="595">
        <f>D17*2</f>
        <v>438</v>
      </c>
      <c r="E18" s="596" t="str">
        <f>"or "&amp;ROUND(D18/$D$3*100,0)&amp;"% of all cows (2 years of heifers)"</f>
        <v>or 88% of all cows (2 years of heifers)</v>
      </c>
      <c r="F18" s="595">
        <f>F17*2</f>
        <v>656</v>
      </c>
      <c r="G18" s="596" t="str">
        <f>"or "&amp;ROUND(F18/$F$3*100,0)&amp;"% of all cows (2 years of heifers)"</f>
        <v>or 87% of all cows (2 years of heifers)</v>
      </c>
    </row>
    <row r="19" spans="1:13" x14ac:dyDescent="0.45">
      <c r="B19" s="358"/>
      <c r="D19" s="595"/>
      <c r="E19" s="596"/>
      <c r="F19" s="595"/>
      <c r="G19" s="596"/>
    </row>
    <row r="20" spans="1:13" x14ac:dyDescent="0.45">
      <c r="B20" s="358"/>
      <c r="C20" s="357" t="s">
        <v>692</v>
      </c>
      <c r="G20" s="596"/>
    </row>
    <row r="21" spans="1:13" x14ac:dyDescent="0.45">
      <c r="B21" s="358"/>
      <c r="C21" s="596"/>
      <c r="G21" s="596"/>
    </row>
    <row r="22" spans="1:13" x14ac:dyDescent="0.45">
      <c r="B22" s="358"/>
      <c r="C22" s="596"/>
      <c r="D22" s="595">
        <f>D3*D4</f>
        <v>200</v>
      </c>
      <c r="E22" s="596" t="s">
        <v>693</v>
      </c>
      <c r="F22" s="597">
        <f>F3*F4</f>
        <v>300</v>
      </c>
      <c r="G22" s="596" t="s">
        <v>694</v>
      </c>
      <c r="I22" s="357" t="s">
        <v>695</v>
      </c>
    </row>
    <row r="23" spans="1:13" x14ac:dyDescent="0.45">
      <c r="B23" s="358"/>
      <c r="C23" s="596"/>
      <c r="D23" s="595">
        <f>D22*(D5/24)</f>
        <v>208.33333333333334</v>
      </c>
      <c r="E23" s="596" t="s">
        <v>696</v>
      </c>
      <c r="F23" s="597">
        <f>F22*(F5/24)</f>
        <v>312.5</v>
      </c>
      <c r="G23" s="596" t="s">
        <v>697</v>
      </c>
      <c r="I23" s="357" t="s">
        <v>698</v>
      </c>
    </row>
    <row r="24" spans="1:13" x14ac:dyDescent="0.45">
      <c r="B24" s="358"/>
      <c r="D24" s="595">
        <f>D23*(1+D6)</f>
        <v>218.75000000000003</v>
      </c>
      <c r="E24" s="596" t="s">
        <v>699</v>
      </c>
      <c r="F24" s="597">
        <f>F23*(1+F6)</f>
        <v>328.125</v>
      </c>
      <c r="G24" s="596" t="s">
        <v>700</v>
      </c>
      <c r="I24" s="357" t="s">
        <v>701</v>
      </c>
    </row>
    <row r="25" spans="1:13" ht="6.5" customHeight="1" x14ac:dyDescent="0.45">
      <c r="A25" s="593"/>
      <c r="B25" s="594"/>
      <c r="C25" s="593"/>
      <c r="D25" s="593"/>
      <c r="E25" s="593"/>
      <c r="F25" s="593"/>
      <c r="G25" s="593"/>
      <c r="H25" s="593"/>
      <c r="I25" s="593"/>
      <c r="J25" s="593"/>
      <c r="K25" s="593"/>
      <c r="L25" s="593"/>
      <c r="M25" s="593"/>
    </row>
    <row r="26" spans="1:13" x14ac:dyDescent="0.45">
      <c r="B26" s="358" t="s">
        <v>702</v>
      </c>
      <c r="D26" s="595">
        <f>D34</f>
        <v>193.37142857142857</v>
      </c>
      <c r="E26" s="598" t="str">
        <f>"or "&amp;ROUND(D26/$D$3*100,0)&amp;"% of all cows"</f>
        <v>or 39% of all cows</v>
      </c>
      <c r="F26" s="595">
        <f>F34</f>
        <v>290.05714285714282</v>
      </c>
      <c r="G26" s="598" t="str">
        <f>"or "&amp;ROUND(F26/F3*100,0)&amp;"% of all cows"</f>
        <v>or 39% of all cows</v>
      </c>
      <c r="H26" s="599"/>
    </row>
    <row r="27" spans="1:13" x14ac:dyDescent="0.45">
      <c r="D27" s="595">
        <f>D26*2</f>
        <v>386.74285714285713</v>
      </c>
      <c r="E27" s="598" t="str">
        <f>"or "&amp;ROUND(D27/$D$3*100,0)&amp;"% of all cows (2 years of heifers)"</f>
        <v>or 77% of all cows (2 years of heifers)</v>
      </c>
      <c r="F27" s="595">
        <f>F26*2</f>
        <v>580.11428571428564</v>
      </c>
      <c r="G27" s="596" t="str">
        <f>"or "&amp;ROUND(F27/$F$3*100,0)&amp;"% of all cows (2 years of heifers)"</f>
        <v>or 77% of all cows (2 years of heifers)</v>
      </c>
      <c r="H27" s="599"/>
    </row>
    <row r="28" spans="1:13" x14ac:dyDescent="0.45">
      <c r="D28" s="595"/>
      <c r="E28" s="598"/>
      <c r="F28" s="595"/>
      <c r="G28" s="596"/>
      <c r="H28" s="599"/>
    </row>
    <row r="29" spans="1:13" x14ac:dyDescent="0.45">
      <c r="C29" s="357" t="s">
        <v>703</v>
      </c>
      <c r="G29" s="596"/>
    </row>
    <row r="30" spans="1:13" x14ac:dyDescent="0.45">
      <c r="G30" s="596"/>
    </row>
    <row r="31" spans="1:13" x14ac:dyDescent="0.45">
      <c r="D31" s="357">
        <f>D3*D8</f>
        <v>250</v>
      </c>
      <c r="E31" s="596" t="s">
        <v>704</v>
      </c>
      <c r="F31" s="357">
        <f>F3*F8</f>
        <v>375</v>
      </c>
      <c r="G31" s="596" t="s">
        <v>705</v>
      </c>
      <c r="I31" s="357" t="s">
        <v>706</v>
      </c>
    </row>
    <row r="32" spans="1:13" x14ac:dyDescent="0.45">
      <c r="D32" s="595">
        <f>D31*(12/D7)</f>
        <v>214.28571428571428</v>
      </c>
      <c r="E32" s="596" t="s">
        <v>707</v>
      </c>
      <c r="F32" s="595">
        <f>F31*(12/F7)</f>
        <v>321.42857142857139</v>
      </c>
      <c r="G32" s="596" t="s">
        <v>685</v>
      </c>
      <c r="I32" s="357" t="s">
        <v>708</v>
      </c>
    </row>
    <row r="33" spans="4:9" x14ac:dyDescent="0.45">
      <c r="D33" s="595">
        <f>D32*(1-D9)</f>
        <v>201.42857142857142</v>
      </c>
      <c r="E33" s="596" t="s">
        <v>709</v>
      </c>
      <c r="F33" s="595">
        <f>F32*(1-F9)</f>
        <v>302.14285714285711</v>
      </c>
      <c r="G33" s="596" t="s">
        <v>710</v>
      </c>
      <c r="I33" s="357" t="s">
        <v>711</v>
      </c>
    </row>
    <row r="34" spans="4:9" x14ac:dyDescent="0.45">
      <c r="D34" s="595">
        <f>D33*(24/D5)</f>
        <v>193.37142857142857</v>
      </c>
      <c r="E34" s="596" t="s">
        <v>709</v>
      </c>
      <c r="F34" s="595">
        <f>F33*(24/F5)</f>
        <v>290.05714285714282</v>
      </c>
      <c r="G34" s="596" t="s">
        <v>712</v>
      </c>
      <c r="I34" s="357" t="s">
        <v>713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1673-E598-4DE6-90AB-25436D8D1E3E}">
  <dimension ref="A1:J50"/>
  <sheetViews>
    <sheetView showGridLines="0" zoomScale="120" zoomScaleNormal="120" workbookViewId="0">
      <selection activeCell="K11" sqref="K11"/>
    </sheetView>
  </sheetViews>
  <sheetFormatPr defaultRowHeight="14.5" x14ac:dyDescent="0.35"/>
  <cols>
    <col min="1" max="1" width="4.1796875" style="4" customWidth="1"/>
    <col min="2" max="2" width="31.1796875" customWidth="1"/>
    <col min="4" max="4" width="11" bestFit="1" customWidth="1"/>
  </cols>
  <sheetData>
    <row r="1" spans="1:8" ht="21" x14ac:dyDescent="0.5">
      <c r="A1" s="612" t="s">
        <v>0</v>
      </c>
      <c r="B1" s="612"/>
      <c r="C1" s="612"/>
      <c r="D1" s="612"/>
      <c r="E1" s="612"/>
      <c r="F1" s="612"/>
      <c r="G1" s="612"/>
      <c r="H1" s="612"/>
    </row>
    <row r="2" spans="1:8" ht="15.5" x14ac:dyDescent="0.35">
      <c r="A2" s="613" t="s">
        <v>1</v>
      </c>
      <c r="B2" s="613"/>
      <c r="C2" s="613"/>
      <c r="D2" s="613"/>
      <c r="E2" s="613"/>
      <c r="F2" s="613"/>
      <c r="G2" s="613"/>
      <c r="H2" s="613"/>
    </row>
    <row r="3" spans="1:8" x14ac:dyDescent="0.35">
      <c r="A3" s="614" t="s">
        <v>715</v>
      </c>
      <c r="B3" s="614"/>
      <c r="C3" s="614"/>
      <c r="D3" s="614"/>
      <c r="E3" s="614"/>
      <c r="F3" s="614"/>
      <c r="G3" s="614"/>
      <c r="H3" s="614"/>
    </row>
    <row r="4" spans="1:8" ht="12.75" customHeight="1" x14ac:dyDescent="0.35">
      <c r="A4" s="2" t="s">
        <v>2</v>
      </c>
      <c r="B4" s="3"/>
      <c r="C4" s="3"/>
      <c r="D4" s="3"/>
      <c r="E4" s="3"/>
      <c r="F4" s="3"/>
      <c r="G4" s="3"/>
      <c r="H4" s="3"/>
    </row>
    <row r="5" spans="1:8" x14ac:dyDescent="0.35">
      <c r="B5" t="s">
        <v>3</v>
      </c>
      <c r="C5" s="5">
        <v>2000</v>
      </c>
      <c r="D5" t="s">
        <v>4</v>
      </c>
      <c r="E5" s="6">
        <v>10</v>
      </c>
      <c r="F5" s="7" t="s">
        <v>5</v>
      </c>
      <c r="G5" s="571">
        <f>C5*E5</f>
        <v>20000</v>
      </c>
    </row>
    <row r="6" spans="1:8" x14ac:dyDescent="0.35">
      <c r="B6" t="s">
        <v>6</v>
      </c>
      <c r="C6" s="5">
        <v>1000</v>
      </c>
      <c r="D6" t="s">
        <v>7</v>
      </c>
      <c r="E6" s="6">
        <v>2</v>
      </c>
      <c r="F6" s="7" t="s">
        <v>8</v>
      </c>
      <c r="G6" s="571">
        <f t="shared" ref="G6:G7" si="0">C6*E6</f>
        <v>2000</v>
      </c>
    </row>
    <row r="7" spans="1:8" x14ac:dyDescent="0.35">
      <c r="B7" s="8" t="s">
        <v>9</v>
      </c>
      <c r="C7" s="8"/>
      <c r="D7" s="8"/>
      <c r="E7" s="8"/>
      <c r="F7" s="8"/>
      <c r="G7" s="9">
        <f t="shared" si="0"/>
        <v>0</v>
      </c>
    </row>
    <row r="8" spans="1:8" x14ac:dyDescent="0.35">
      <c r="A8" s="4" t="s">
        <v>10</v>
      </c>
      <c r="G8" s="571">
        <f>SUM(G5:G7)</f>
        <v>22000</v>
      </c>
    </row>
    <row r="9" spans="1:8" ht="12.75" customHeight="1" x14ac:dyDescent="0.35">
      <c r="A9" s="2" t="s">
        <v>11</v>
      </c>
      <c r="B9" s="3"/>
      <c r="C9" s="3"/>
      <c r="D9" s="3"/>
      <c r="E9" s="3"/>
      <c r="F9" s="3"/>
      <c r="G9" s="3"/>
      <c r="H9" s="3"/>
    </row>
    <row r="10" spans="1:8" x14ac:dyDescent="0.35">
      <c r="B10" t="s">
        <v>645</v>
      </c>
      <c r="C10" s="572">
        <f>C5</f>
        <v>2000</v>
      </c>
      <c r="D10" s="572" t="s">
        <v>646</v>
      </c>
      <c r="E10" s="6">
        <v>1</v>
      </c>
      <c r="F10" s="573" t="s">
        <v>5</v>
      </c>
      <c r="G10" s="571">
        <f>C10*E10</f>
        <v>2000</v>
      </c>
    </row>
    <row r="11" spans="1:8" x14ac:dyDescent="0.35">
      <c r="B11" t="s">
        <v>647</v>
      </c>
      <c r="C11" s="572">
        <f>C6</f>
        <v>1000</v>
      </c>
      <c r="D11" s="572" t="s">
        <v>7</v>
      </c>
      <c r="E11" s="6">
        <v>0.75</v>
      </c>
      <c r="F11" s="573" t="s">
        <v>8</v>
      </c>
      <c r="G11" s="571">
        <f>C11*E11</f>
        <v>750</v>
      </c>
    </row>
    <row r="12" spans="1:8" x14ac:dyDescent="0.35">
      <c r="B12" t="s">
        <v>12</v>
      </c>
      <c r="C12" s="572">
        <f>C10+C11</f>
        <v>3000</v>
      </c>
      <c r="D12" s="572" t="s">
        <v>7</v>
      </c>
      <c r="E12" s="6">
        <v>3</v>
      </c>
      <c r="F12" s="573" t="s">
        <v>8</v>
      </c>
      <c r="G12" s="571">
        <f>C12*E12</f>
        <v>9000</v>
      </c>
    </row>
    <row r="13" spans="1:8" x14ac:dyDescent="0.35">
      <c r="B13" s="8" t="s">
        <v>9</v>
      </c>
      <c r="C13" s="8"/>
      <c r="D13" s="8"/>
      <c r="E13" s="8"/>
      <c r="F13" s="8"/>
      <c r="G13" s="10">
        <v>0</v>
      </c>
    </row>
    <row r="14" spans="1:8" x14ac:dyDescent="0.35">
      <c r="A14" s="4" t="s">
        <v>13</v>
      </c>
      <c r="G14" s="571">
        <f>SUM(G10:G13)</f>
        <v>11750</v>
      </c>
    </row>
    <row r="15" spans="1:8" ht="8.15" customHeight="1" x14ac:dyDescent="0.35">
      <c r="A15" s="2"/>
      <c r="B15" s="3"/>
      <c r="C15" s="3"/>
      <c r="D15" s="3"/>
      <c r="E15" s="3"/>
      <c r="F15" s="3"/>
      <c r="G15" s="11"/>
      <c r="H15" s="3"/>
    </row>
    <row r="16" spans="1:8" x14ac:dyDescent="0.35">
      <c r="A16" s="4" t="s">
        <v>14</v>
      </c>
      <c r="G16" s="571">
        <f>G8-G14</f>
        <v>10250</v>
      </c>
    </row>
    <row r="17" spans="1:9" x14ac:dyDescent="0.35">
      <c r="A17" s="12" t="s">
        <v>15</v>
      </c>
      <c r="G17" s="13"/>
    </row>
    <row r="18" spans="1:9" ht="12.75" customHeight="1" x14ac:dyDescent="0.35">
      <c r="A18" s="2" t="s">
        <v>16</v>
      </c>
      <c r="B18" s="3"/>
      <c r="C18" s="3"/>
      <c r="D18" s="3"/>
      <c r="E18" s="3"/>
      <c r="F18" s="3"/>
      <c r="G18" s="11"/>
      <c r="H18" s="3"/>
    </row>
    <row r="19" spans="1:9" x14ac:dyDescent="0.35">
      <c r="B19" t="s">
        <v>17</v>
      </c>
      <c r="G19" s="574">
        <v>500</v>
      </c>
      <c r="I19" t="s">
        <v>651</v>
      </c>
    </row>
    <row r="20" spans="1:9" x14ac:dyDescent="0.35">
      <c r="B20" t="s">
        <v>18</v>
      </c>
      <c r="G20" s="574">
        <v>500</v>
      </c>
    </row>
    <row r="21" spans="1:9" x14ac:dyDescent="0.35">
      <c r="B21" t="s">
        <v>19</v>
      </c>
      <c r="G21" s="574">
        <v>1000</v>
      </c>
    </row>
    <row r="22" spans="1:9" x14ac:dyDescent="0.35">
      <c r="B22" t="s">
        <v>20</v>
      </c>
      <c r="G22" s="574">
        <v>500</v>
      </c>
    </row>
    <row r="23" spans="1:9" x14ac:dyDescent="0.35">
      <c r="B23" t="s">
        <v>21</v>
      </c>
      <c r="G23" s="574">
        <v>0</v>
      </c>
    </row>
    <row r="24" spans="1:9" x14ac:dyDescent="0.35">
      <c r="B24" t="s">
        <v>22</v>
      </c>
      <c r="G24" s="574">
        <v>340</v>
      </c>
    </row>
    <row r="25" spans="1:9" x14ac:dyDescent="0.35">
      <c r="B25" t="s">
        <v>23</v>
      </c>
      <c r="G25" s="574">
        <v>0</v>
      </c>
    </row>
    <row r="26" spans="1:9" x14ac:dyDescent="0.35">
      <c r="B26" t="s">
        <v>24</v>
      </c>
      <c r="G26" s="574">
        <v>800</v>
      </c>
    </row>
    <row r="27" spans="1:9" x14ac:dyDescent="0.35">
      <c r="B27" t="s">
        <v>25</v>
      </c>
      <c r="G27" s="574">
        <v>250</v>
      </c>
    </row>
    <row r="28" spans="1:9" x14ac:dyDescent="0.35">
      <c r="B28" t="s">
        <v>26</v>
      </c>
      <c r="C28" s="14">
        <v>2000</v>
      </c>
      <c r="D28" t="s">
        <v>27</v>
      </c>
      <c r="E28" s="15">
        <v>0.2</v>
      </c>
      <c r="G28" s="574">
        <f>C28*E28</f>
        <v>400</v>
      </c>
    </row>
    <row r="29" spans="1:9" x14ac:dyDescent="0.35">
      <c r="B29" t="s">
        <v>28</v>
      </c>
      <c r="C29" s="14">
        <v>1200</v>
      </c>
      <c r="D29" t="s">
        <v>29</v>
      </c>
      <c r="E29" s="15">
        <v>0.05</v>
      </c>
      <c r="G29" s="574">
        <f>C29*E29</f>
        <v>60</v>
      </c>
    </row>
    <row r="30" spans="1:9" x14ac:dyDescent="0.35">
      <c r="B30" t="s">
        <v>30</v>
      </c>
      <c r="G30" s="574">
        <v>200</v>
      </c>
    </row>
    <row r="31" spans="1:9" x14ac:dyDescent="0.35">
      <c r="B31" s="8" t="s">
        <v>31</v>
      </c>
      <c r="C31" s="601">
        <v>0</v>
      </c>
      <c r="D31" s="8"/>
      <c r="E31" s="579">
        <f>SUM(G14)</f>
        <v>11750</v>
      </c>
      <c r="F31" s="8"/>
      <c r="G31" s="9">
        <f>C31*E31</f>
        <v>0</v>
      </c>
    </row>
    <row r="32" spans="1:9" x14ac:dyDescent="0.35">
      <c r="A32" s="4" t="s">
        <v>32</v>
      </c>
      <c r="B32" s="16"/>
      <c r="C32" s="16"/>
      <c r="D32" s="16"/>
      <c r="E32" s="16"/>
      <c r="F32" s="16"/>
      <c r="G32" s="571">
        <f>SUM(G19:G31)</f>
        <v>4550</v>
      </c>
    </row>
    <row r="33" spans="1:10" ht="27" customHeight="1" x14ac:dyDescent="0.35">
      <c r="A33" s="4" t="s">
        <v>33</v>
      </c>
      <c r="G33" s="571">
        <f>G14+G32</f>
        <v>16300</v>
      </c>
    </row>
    <row r="34" spans="1:10" ht="18.75" customHeight="1" x14ac:dyDescent="0.35">
      <c r="A34" s="2"/>
      <c r="B34" s="3"/>
      <c r="C34" s="3"/>
      <c r="D34" s="3"/>
      <c r="E34" s="3"/>
      <c r="F34" s="3"/>
      <c r="G34" s="11"/>
      <c r="H34" s="3"/>
    </row>
    <row r="35" spans="1:10" ht="17.25" customHeight="1" x14ac:dyDescent="0.35">
      <c r="A35" s="4" t="s">
        <v>34</v>
      </c>
      <c r="G35" s="571">
        <f>G16-G32</f>
        <v>5700</v>
      </c>
    </row>
    <row r="36" spans="1:10" x14ac:dyDescent="0.35">
      <c r="A36" s="4" t="s">
        <v>35</v>
      </c>
      <c r="C36" s="15">
        <v>0.3</v>
      </c>
      <c r="D36" t="s">
        <v>36</v>
      </c>
      <c r="G36" s="571">
        <f>G35*C36</f>
        <v>1710</v>
      </c>
    </row>
    <row r="37" spans="1:10" ht="12" customHeight="1" x14ac:dyDescent="0.35">
      <c r="G37" s="571"/>
    </row>
    <row r="38" spans="1:10" ht="15" thickBot="1" x14ac:dyDescent="0.4">
      <c r="A38" s="4" t="s">
        <v>37</v>
      </c>
      <c r="G38" s="575">
        <f>G35-G36</f>
        <v>3990</v>
      </c>
      <c r="H38" t="str">
        <f>IF(G38&lt;0,"Oh no!","We're doing okay!")</f>
        <v>We're doing okay!</v>
      </c>
      <c r="J38" t="s">
        <v>648</v>
      </c>
    </row>
    <row r="39" spans="1:10" ht="8.15" customHeight="1" thickTop="1" x14ac:dyDescent="0.35">
      <c r="A39" s="2"/>
      <c r="B39" s="3"/>
      <c r="C39" s="3"/>
      <c r="D39" s="3"/>
      <c r="E39" s="3"/>
      <c r="F39" s="3"/>
      <c r="G39" s="3"/>
      <c r="H39" s="3"/>
    </row>
    <row r="40" spans="1:10" ht="12.75" customHeight="1" x14ac:dyDescent="0.35">
      <c r="B40" s="17"/>
    </row>
    <row r="41" spans="1:10" x14ac:dyDescent="0.35">
      <c r="B41" t="s">
        <v>38</v>
      </c>
      <c r="G41" s="576">
        <f>(G33-G6-G7)/E5</f>
        <v>1430</v>
      </c>
      <c r="H41" t="s">
        <v>39</v>
      </c>
      <c r="I41" s="570"/>
    </row>
    <row r="42" spans="1:10" ht="10.5" customHeight="1" x14ac:dyDescent="0.35">
      <c r="B42" s="17" t="s">
        <v>40</v>
      </c>
      <c r="G42" s="572"/>
    </row>
    <row r="43" spans="1:10" ht="10.5" customHeight="1" x14ac:dyDescent="0.35">
      <c r="B43" s="17"/>
      <c r="G43" s="572"/>
    </row>
    <row r="44" spans="1:10" x14ac:dyDescent="0.35">
      <c r="B44" t="s">
        <v>41</v>
      </c>
      <c r="G44" s="577">
        <f>(G33-G6-G7)/C5</f>
        <v>7.15</v>
      </c>
      <c r="H44" s="7" t="s">
        <v>5</v>
      </c>
    </row>
    <row r="45" spans="1:10" ht="9.75" customHeight="1" x14ac:dyDescent="0.35">
      <c r="B45" s="17" t="s">
        <v>40</v>
      </c>
      <c r="G45" s="572"/>
    </row>
    <row r="46" spans="1:10" x14ac:dyDescent="0.35">
      <c r="G46" s="572"/>
    </row>
    <row r="47" spans="1:10" x14ac:dyDescent="0.35">
      <c r="B47" s="18" t="s">
        <v>649</v>
      </c>
      <c r="G47" s="578">
        <f>G35/G8</f>
        <v>0.25909090909090909</v>
      </c>
    </row>
    <row r="50" spans="1:1" x14ac:dyDescent="0.35">
      <c r="A50" s="4" t="s">
        <v>650</v>
      </c>
    </row>
  </sheetData>
  <mergeCells count="3">
    <mergeCell ref="A1:H1"/>
    <mergeCell ref="A2:H2"/>
    <mergeCell ref="A3:H3"/>
  </mergeCells>
  <conditionalFormatting sqref="G10:G12 G19:G31">
    <cfRule type="top10" dxfId="12" priority="1" rank="5"/>
  </conditionalFormatting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6B29-0B72-4C41-8FB0-A74C441D071D}">
  <sheetPr>
    <pageSetUpPr fitToPage="1"/>
  </sheetPr>
  <dimension ref="A1:X232"/>
  <sheetViews>
    <sheetView showGridLines="0" zoomScale="110" zoomScaleNormal="110" zoomScaleSheetLayoutView="75" workbookViewId="0">
      <selection activeCell="G20" sqref="G20"/>
    </sheetView>
  </sheetViews>
  <sheetFormatPr defaultColWidth="11.453125" defaultRowHeight="15.5" x14ac:dyDescent="0.35"/>
  <cols>
    <col min="1" max="1" width="9.1796875" style="19" customWidth="1"/>
    <col min="2" max="2" width="30.81640625" style="19" customWidth="1"/>
    <col min="3" max="3" width="5.26953125" style="19" customWidth="1"/>
    <col min="4" max="4" width="11.54296875" style="19" customWidth="1"/>
    <col min="5" max="5" width="11.6328125" style="19" customWidth="1"/>
    <col min="6" max="6" width="14.81640625" style="20" customWidth="1"/>
    <col min="7" max="7" width="15.36328125" style="19" customWidth="1"/>
    <col min="8" max="8" width="14.81640625" style="19" customWidth="1"/>
    <col min="9" max="12" width="11.453125" style="19" customWidth="1"/>
    <col min="13" max="13" width="9.08984375" style="19" customWidth="1"/>
    <col min="14" max="14" width="11.453125" style="19" customWidth="1"/>
    <col min="15" max="15" width="12.6328125" style="19" customWidth="1"/>
    <col min="16" max="16384" width="11.453125" style="19"/>
  </cols>
  <sheetData>
    <row r="1" spans="1:24" ht="75.75" customHeight="1" x14ac:dyDescent="0.35"/>
    <row r="2" spans="1:24" ht="19.5" customHeight="1" x14ac:dyDescent="0.4">
      <c r="A2" s="173"/>
      <c r="B2" s="23"/>
      <c r="C2" s="23"/>
      <c r="D2" s="23"/>
      <c r="E2" s="23"/>
      <c r="F2" s="24"/>
      <c r="G2" s="23"/>
      <c r="H2" s="25" t="s">
        <v>191</v>
      </c>
      <c r="S2" s="174" t="s">
        <v>43</v>
      </c>
    </row>
    <row r="3" spans="1:24" ht="27" customHeight="1" x14ac:dyDescent="0.5">
      <c r="A3" s="615" t="s">
        <v>192</v>
      </c>
      <c r="B3" s="616"/>
      <c r="C3" s="616"/>
      <c r="D3" s="616"/>
      <c r="E3" s="616"/>
      <c r="F3" s="616"/>
      <c r="G3" s="616"/>
      <c r="H3" s="616"/>
      <c r="S3" s="174"/>
    </row>
    <row r="4" spans="1:24" ht="19.5" customHeight="1" x14ac:dyDescent="0.4">
      <c r="D4" s="175" t="s">
        <v>193</v>
      </c>
      <c r="E4" s="176"/>
      <c r="F4" s="19"/>
      <c r="H4" s="177" t="s">
        <v>194</v>
      </c>
      <c r="K4" s="174"/>
      <c r="S4" s="174" t="s">
        <v>43</v>
      </c>
    </row>
    <row r="5" spans="1:24" ht="17.25" customHeight="1" thickBot="1" x14ac:dyDescent="0.45">
      <c r="B5" s="178"/>
      <c r="C5" s="179">
        <f>E10</f>
        <v>40</v>
      </c>
      <c r="D5" s="19" t="s">
        <v>195</v>
      </c>
      <c r="G5" s="178"/>
      <c r="H5" s="180">
        <v>1</v>
      </c>
    </row>
    <row r="6" spans="1:24" ht="15.75" customHeight="1" thickTop="1" x14ac:dyDescent="0.35">
      <c r="A6" s="181"/>
      <c r="B6" s="181"/>
      <c r="C6" s="181"/>
      <c r="D6" s="181"/>
      <c r="E6" s="182" t="s">
        <v>57</v>
      </c>
      <c r="F6" s="183" t="s">
        <v>196</v>
      </c>
      <c r="G6" s="184" t="s">
        <v>58</v>
      </c>
      <c r="H6" s="185" t="s">
        <v>197</v>
      </c>
    </row>
    <row r="7" spans="1:24" x14ac:dyDescent="0.35">
      <c r="A7" s="94" t="s">
        <v>43</v>
      </c>
      <c r="B7" s="94"/>
      <c r="C7" s="94"/>
      <c r="D7" s="186" t="s">
        <v>55</v>
      </c>
      <c r="E7" s="187" t="s">
        <v>198</v>
      </c>
      <c r="F7" s="188" t="s">
        <v>199</v>
      </c>
      <c r="G7" s="189" t="s">
        <v>198</v>
      </c>
      <c r="H7" s="190" t="s">
        <v>200</v>
      </c>
      <c r="K7" s="174"/>
      <c r="S7" s="174" t="s">
        <v>43</v>
      </c>
    </row>
    <row r="8" spans="1:24" x14ac:dyDescent="0.35">
      <c r="E8" s="191"/>
      <c r="F8" s="192"/>
      <c r="G8" s="193"/>
      <c r="H8" s="194"/>
    </row>
    <row r="9" spans="1:24" x14ac:dyDescent="0.35">
      <c r="A9" s="195" t="s">
        <v>60</v>
      </c>
      <c r="E9" s="191"/>
      <c r="F9" s="192"/>
      <c r="G9" s="193"/>
      <c r="H9" s="194"/>
    </row>
    <row r="10" spans="1:24" x14ac:dyDescent="0.35">
      <c r="B10" s="19" t="s">
        <v>201</v>
      </c>
      <c r="D10" s="196" t="s">
        <v>202</v>
      </c>
      <c r="E10" s="197">
        <v>40</v>
      </c>
      <c r="F10" s="198">
        <v>9</v>
      </c>
      <c r="G10" s="199">
        <f>E10*F10</f>
        <v>360</v>
      </c>
      <c r="H10" s="200" t="str">
        <f>IF($H$5=1," ",IF(E10=0," ",$H$5*G10))</f>
        <v xml:space="preserve"> </v>
      </c>
      <c r="K10" s="174"/>
      <c r="S10" s="174" t="s">
        <v>43</v>
      </c>
    </row>
    <row r="11" spans="1:24" x14ac:dyDescent="0.35">
      <c r="D11" s="196" t="s">
        <v>43</v>
      </c>
      <c r="E11" s="191" t="s">
        <v>43</v>
      </c>
      <c r="F11" s="192" t="s">
        <v>43</v>
      </c>
      <c r="G11" s="199"/>
      <c r="H11" s="194"/>
      <c r="S11" s="174" t="s">
        <v>43</v>
      </c>
      <c r="X11" s="75" t="s">
        <v>43</v>
      </c>
    </row>
    <row r="12" spans="1:24" x14ac:dyDescent="0.35">
      <c r="B12" s="19" t="s">
        <v>203</v>
      </c>
      <c r="E12" s="191"/>
      <c r="F12" s="192"/>
      <c r="G12" s="201">
        <f>SUM(G10:G11)</f>
        <v>360</v>
      </c>
      <c r="H12" s="200" t="str">
        <f>IF(G12=0," ",IF($H$5=1," ",$H$5*G12))</f>
        <v xml:space="preserve"> </v>
      </c>
      <c r="K12" s="174"/>
      <c r="S12" s="174" t="s">
        <v>43</v>
      </c>
      <c r="X12" s="75" t="s">
        <v>43</v>
      </c>
    </row>
    <row r="13" spans="1:24" x14ac:dyDescent="0.35">
      <c r="D13" s="196" t="s">
        <v>43</v>
      </c>
      <c r="E13" s="191" t="s">
        <v>43</v>
      </c>
      <c r="F13" s="192" t="s">
        <v>43</v>
      </c>
      <c r="G13" s="193" t="s">
        <v>43</v>
      </c>
      <c r="H13" s="194"/>
      <c r="K13" s="174"/>
      <c r="S13" s="174" t="s">
        <v>43</v>
      </c>
      <c r="X13" s="75" t="s">
        <v>43</v>
      </c>
    </row>
    <row r="14" spans="1:24" x14ac:dyDescent="0.35">
      <c r="A14" s="195" t="s">
        <v>204</v>
      </c>
      <c r="D14" s="196" t="s">
        <v>43</v>
      </c>
      <c r="E14" s="191" t="s">
        <v>43</v>
      </c>
      <c r="F14" s="192" t="s">
        <v>43</v>
      </c>
      <c r="G14" s="193" t="s">
        <v>43</v>
      </c>
      <c r="H14" s="194"/>
      <c r="K14" s="174"/>
      <c r="S14" s="174" t="s">
        <v>43</v>
      </c>
      <c r="X14" s="75" t="s">
        <v>43</v>
      </c>
    </row>
    <row r="15" spans="1:24" x14ac:dyDescent="0.35">
      <c r="B15" s="202" t="s">
        <v>205</v>
      </c>
      <c r="D15" s="203" t="s">
        <v>206</v>
      </c>
      <c r="E15" s="197">
        <v>0.75</v>
      </c>
      <c r="F15" s="204">
        <v>18.25</v>
      </c>
      <c r="G15" s="199">
        <f>ROUND((E15*F15),2)</f>
        <v>13.69</v>
      </c>
      <c r="H15" s="200" t="str">
        <f>IF($H$5=1," ",IF(E15=0," ",$H$5*G15))</f>
        <v xml:space="preserve"> </v>
      </c>
      <c r="S15" s="174" t="s">
        <v>43</v>
      </c>
    </row>
    <row r="16" spans="1:24" x14ac:dyDescent="0.35">
      <c r="B16" s="202" t="s">
        <v>115</v>
      </c>
      <c r="D16" s="202" t="s">
        <v>115</v>
      </c>
      <c r="E16" s="197"/>
      <c r="F16" s="204" t="s">
        <v>115</v>
      </c>
      <c r="G16" s="199" t="str">
        <f>IF(J16=0," ",ROUND((E16*F16),2))</f>
        <v xml:space="preserve"> </v>
      </c>
      <c r="H16" s="200" t="str">
        <f>IF($H$5=1," ",IF(E16=0," ",$H$5*G16))</f>
        <v xml:space="preserve"> </v>
      </c>
      <c r="S16" s="174"/>
    </row>
    <row r="17" spans="2:24" x14ac:dyDescent="0.35">
      <c r="B17" s="19" t="s">
        <v>207</v>
      </c>
      <c r="C17" s="205" t="s">
        <v>208</v>
      </c>
      <c r="D17" s="196"/>
      <c r="E17" s="197" t="s">
        <v>43</v>
      </c>
      <c r="F17" s="198" t="s">
        <v>115</v>
      </c>
      <c r="G17" s="199" t="s">
        <v>43</v>
      </c>
      <c r="H17" s="194"/>
      <c r="S17" s="174" t="s">
        <v>43</v>
      </c>
    </row>
    <row r="18" spans="2:24" x14ac:dyDescent="0.35">
      <c r="B18" s="19" t="s">
        <v>209</v>
      </c>
      <c r="C18" s="206"/>
      <c r="D18" s="196" t="s">
        <v>210</v>
      </c>
      <c r="E18" s="207">
        <f>ROUND($E$10*1.3*0,0)</f>
        <v>0</v>
      </c>
      <c r="F18" s="198">
        <v>0.38</v>
      </c>
      <c r="G18" s="199">
        <f>IF(C18=0,ROUND((E18*F18),2),ROUND((C18*F18),2))</f>
        <v>0</v>
      </c>
      <c r="H18" s="200" t="str">
        <f t="shared" ref="H18:H36" si="0">IF($H$5=1," ",IF(E18=0," ",$H$5*G18))</f>
        <v xml:space="preserve"> </v>
      </c>
      <c r="S18" s="174" t="s">
        <v>43</v>
      </c>
    </row>
    <row r="19" spans="2:24" x14ac:dyDescent="0.35">
      <c r="B19" s="19" t="s">
        <v>211</v>
      </c>
      <c r="C19" s="206"/>
      <c r="D19" s="196" t="s">
        <v>210</v>
      </c>
      <c r="E19" s="207">
        <f>ROUND($E$10*1.3*0.8,0)</f>
        <v>42</v>
      </c>
      <c r="F19" s="198">
        <v>0.32</v>
      </c>
      <c r="G19" s="199">
        <f>IF(C19=0,ROUND((E19*F19),2),ROUND((C19*F19),2))</f>
        <v>13.44</v>
      </c>
      <c r="H19" s="200" t="str">
        <f t="shared" si="0"/>
        <v xml:space="preserve"> </v>
      </c>
      <c r="S19" s="174" t="s">
        <v>43</v>
      </c>
      <c r="X19" s="75" t="s">
        <v>43</v>
      </c>
    </row>
    <row r="20" spans="2:24" x14ac:dyDescent="0.35">
      <c r="B20" s="19" t="s">
        <v>212</v>
      </c>
      <c r="C20" s="206"/>
      <c r="D20" s="196" t="s">
        <v>210</v>
      </c>
      <c r="E20" s="207">
        <f>ROUND($E$10*1.3*1.4,0)</f>
        <v>73</v>
      </c>
      <c r="F20" s="198">
        <v>0.32</v>
      </c>
      <c r="G20" s="199">
        <f>IF(C20=0,ROUND((E20*F20),2),ROUND((C20*F20),2))</f>
        <v>23.36</v>
      </c>
      <c r="H20" s="200" t="str">
        <f t="shared" si="0"/>
        <v xml:space="preserve"> </v>
      </c>
      <c r="S20" s="174" t="s">
        <v>43</v>
      </c>
      <c r="X20" s="75" t="s">
        <v>43</v>
      </c>
    </row>
    <row r="21" spans="2:24" x14ac:dyDescent="0.35">
      <c r="B21" s="19" t="s">
        <v>213</v>
      </c>
      <c r="D21" s="196" t="s">
        <v>214</v>
      </c>
      <c r="E21" s="197">
        <v>1</v>
      </c>
      <c r="F21" s="198">
        <v>7.25</v>
      </c>
      <c r="G21" s="199">
        <f t="shared" ref="G21:G34" si="1">ROUND((E21*F21),2)</f>
        <v>7.25</v>
      </c>
      <c r="H21" s="200" t="str">
        <f t="shared" si="0"/>
        <v xml:space="preserve"> </v>
      </c>
      <c r="S21" s="174"/>
      <c r="X21" s="75"/>
    </row>
    <row r="22" spans="2:24" x14ac:dyDescent="0.35">
      <c r="B22" s="19" t="s">
        <v>215</v>
      </c>
      <c r="D22" s="196" t="s">
        <v>216</v>
      </c>
      <c r="E22" s="197">
        <v>0.33</v>
      </c>
      <c r="F22" s="198">
        <v>40</v>
      </c>
      <c r="G22" s="199">
        <f t="shared" si="1"/>
        <v>13.2</v>
      </c>
      <c r="H22" s="200" t="str">
        <f t="shared" si="0"/>
        <v xml:space="preserve"> </v>
      </c>
      <c r="S22" s="174" t="s">
        <v>43</v>
      </c>
    </row>
    <row r="23" spans="2:24" x14ac:dyDescent="0.35">
      <c r="B23" s="19" t="s">
        <v>217</v>
      </c>
      <c r="D23" s="196" t="s">
        <v>214</v>
      </c>
      <c r="E23" s="207">
        <f>$E$55</f>
        <v>1</v>
      </c>
      <c r="F23" s="208">
        <f>IF(A113="H",G113,0)+IF(A114="H",G114,0)+IF(A115="H",G115,0)+IF(A116="H",G116,0)+IF(A117="H",G117,0)+IF(A118="H",G118,0)+IF(A119="H",G119,0)+IF(A120="H",G120,0)+IF(A121="H",G121,0)</f>
        <v>15.58</v>
      </c>
      <c r="G23" s="199">
        <f t="shared" si="1"/>
        <v>15.58</v>
      </c>
      <c r="H23" s="200" t="str">
        <f t="shared" si="0"/>
        <v xml:space="preserve"> </v>
      </c>
      <c r="S23" s="174" t="s">
        <v>43</v>
      </c>
    </row>
    <row r="24" spans="2:24" x14ac:dyDescent="0.35">
      <c r="B24" s="19" t="s">
        <v>218</v>
      </c>
      <c r="D24" s="196" t="s">
        <v>214</v>
      </c>
      <c r="E24" s="207">
        <f>$E$55</f>
        <v>1</v>
      </c>
      <c r="F24" s="208">
        <f>IF(A113="i",G113,0)+IF(A114="i",G114,0)+IF(A115="i",G115,0)+IF(A116="i",G116,0)+IF(A117="i",G117,0)+IF(A118="i",G118,0)+IF(A119="i",G119,0)+IF(A120="i",G120,0)+IF(A121="i",G121,0)</f>
        <v>2.5</v>
      </c>
      <c r="G24" s="199">
        <f t="shared" si="1"/>
        <v>2.5</v>
      </c>
      <c r="H24" s="200" t="str">
        <f t="shared" si="0"/>
        <v xml:space="preserve"> </v>
      </c>
      <c r="S24" s="174"/>
    </row>
    <row r="25" spans="2:24" x14ac:dyDescent="0.35">
      <c r="B25" s="19" t="s">
        <v>219</v>
      </c>
      <c r="D25" s="196" t="s">
        <v>214</v>
      </c>
      <c r="E25" s="207">
        <f>$E$55</f>
        <v>1</v>
      </c>
      <c r="F25" s="208">
        <f>IF(A113="f",G113,0)+IF(A114="f",G114,0)+IF(A115="f",G115,0)+IF(A116="f",G116,0)+IF(A117="f",G117,0)+IF(A118="f",G118,0)+IF(A119="f",G119,0)+IF(A120="f",G120,0)+IF(A121="f",G121,0)</f>
        <v>0</v>
      </c>
      <c r="G25" s="199">
        <f t="shared" si="1"/>
        <v>0</v>
      </c>
      <c r="H25" s="200" t="str">
        <f t="shared" si="0"/>
        <v xml:space="preserve"> </v>
      </c>
      <c r="S25" s="174"/>
    </row>
    <row r="26" spans="2:24" x14ac:dyDescent="0.35">
      <c r="B26" s="19" t="s">
        <v>220</v>
      </c>
      <c r="D26" s="196" t="s">
        <v>214</v>
      </c>
      <c r="E26" s="207">
        <f>$E$55</f>
        <v>1</v>
      </c>
      <c r="F26" s="208">
        <f>IF(A113="g",G113,0)+IF(A114="g",G114,0)+IF(A115="g",G115,0)+IF(A116="g",G116,0)+IF(A117="g",G117,0)+IF(A118="g",G118,0)+IF(A119="g",G119,0)+IF(A120="g",G120,0)+IF(A121="g",G121,0)</f>
        <v>0</v>
      </c>
      <c r="G26" s="199">
        <f>ROUND((E26*F26),2)</f>
        <v>0</v>
      </c>
      <c r="H26" s="200" t="str">
        <f>IF($H$5=1," ",IF(E26=0," ",$H$5*G26))</f>
        <v xml:space="preserve"> </v>
      </c>
      <c r="S26" s="174"/>
    </row>
    <row r="27" spans="2:24" x14ac:dyDescent="0.35">
      <c r="B27" s="19" t="s">
        <v>221</v>
      </c>
      <c r="D27" s="196" t="s">
        <v>214</v>
      </c>
      <c r="E27" s="197">
        <v>1</v>
      </c>
      <c r="F27" s="204">
        <v>10</v>
      </c>
      <c r="G27" s="199">
        <f t="shared" si="1"/>
        <v>10</v>
      </c>
      <c r="H27" s="200" t="str">
        <f t="shared" si="0"/>
        <v xml:space="preserve"> </v>
      </c>
      <c r="S27" s="174"/>
    </row>
    <row r="28" spans="2:24" x14ac:dyDescent="0.35">
      <c r="B28" s="19" t="s">
        <v>222</v>
      </c>
      <c r="D28" s="196" t="s">
        <v>223</v>
      </c>
      <c r="E28" s="207">
        <f>F82/F89</f>
        <v>1.9829787234042549</v>
      </c>
      <c r="F28" s="209">
        <v>4</v>
      </c>
      <c r="G28" s="199">
        <f t="shared" si="1"/>
        <v>7.93</v>
      </c>
      <c r="H28" s="200" t="str">
        <f t="shared" si="0"/>
        <v xml:space="preserve"> </v>
      </c>
      <c r="S28" s="174"/>
    </row>
    <row r="29" spans="2:24" x14ac:dyDescent="0.35">
      <c r="B29" s="19" t="s">
        <v>224</v>
      </c>
      <c r="D29" s="196" t="s">
        <v>214</v>
      </c>
      <c r="E29" s="207">
        <f>$E$55</f>
        <v>1</v>
      </c>
      <c r="F29" s="210">
        <f>G82</f>
        <v>6.26</v>
      </c>
      <c r="G29" s="199">
        <f t="shared" si="1"/>
        <v>6.26</v>
      </c>
      <c r="H29" s="200" t="str">
        <f t="shared" si="0"/>
        <v xml:space="preserve"> </v>
      </c>
      <c r="S29" s="174"/>
    </row>
    <row r="30" spans="2:24" x14ac:dyDescent="0.35">
      <c r="B30" s="19" t="s">
        <v>225</v>
      </c>
      <c r="D30" s="196" t="s">
        <v>226</v>
      </c>
      <c r="E30" s="207">
        <f>D82</f>
        <v>0.64</v>
      </c>
      <c r="F30" s="198">
        <v>15</v>
      </c>
      <c r="G30" s="199">
        <f t="shared" si="1"/>
        <v>9.6</v>
      </c>
      <c r="H30" s="200" t="str">
        <f t="shared" si="0"/>
        <v xml:space="preserve"> </v>
      </c>
      <c r="S30" s="174"/>
    </row>
    <row r="31" spans="2:24" x14ac:dyDescent="0.35">
      <c r="B31" s="19" t="s">
        <v>227</v>
      </c>
      <c r="D31" s="196" t="s">
        <v>214</v>
      </c>
      <c r="E31" s="207">
        <f>$E$55</f>
        <v>1</v>
      </c>
      <c r="F31" s="198">
        <v>75</v>
      </c>
      <c r="G31" s="199">
        <f t="shared" si="1"/>
        <v>75</v>
      </c>
      <c r="H31" s="200" t="str">
        <f t="shared" si="0"/>
        <v xml:space="preserve"> </v>
      </c>
      <c r="S31" s="174"/>
    </row>
    <row r="32" spans="2:24" x14ac:dyDescent="0.35">
      <c r="B32" s="19" t="s">
        <v>228</v>
      </c>
      <c r="D32" s="196" t="s">
        <v>214</v>
      </c>
      <c r="E32" s="207">
        <f>$E$55</f>
        <v>1</v>
      </c>
      <c r="F32" s="198">
        <v>20</v>
      </c>
      <c r="G32" s="199">
        <f t="shared" si="1"/>
        <v>20</v>
      </c>
      <c r="H32" s="200" t="str">
        <f t="shared" si="0"/>
        <v xml:space="preserve"> </v>
      </c>
      <c r="K32" s="174"/>
      <c r="S32" s="174"/>
    </row>
    <row r="33" spans="1:24" x14ac:dyDescent="0.35">
      <c r="B33" s="19" t="s">
        <v>229</v>
      </c>
      <c r="D33" s="196" t="s">
        <v>214</v>
      </c>
      <c r="E33" s="207">
        <f>$E$55</f>
        <v>1</v>
      </c>
      <c r="F33" s="198">
        <v>0</v>
      </c>
      <c r="G33" s="199">
        <f t="shared" si="1"/>
        <v>0</v>
      </c>
      <c r="H33" s="200" t="str">
        <f t="shared" si="0"/>
        <v xml:space="preserve"> </v>
      </c>
      <c r="K33" s="174"/>
      <c r="S33" s="174"/>
    </row>
    <row r="34" spans="1:24" x14ac:dyDescent="0.35">
      <c r="B34" s="19" t="s">
        <v>230</v>
      </c>
      <c r="D34" s="196" t="s">
        <v>214</v>
      </c>
      <c r="E34" s="207">
        <f>$E$55</f>
        <v>1</v>
      </c>
      <c r="F34" s="198">
        <v>0</v>
      </c>
      <c r="G34" s="199">
        <f t="shared" si="1"/>
        <v>0</v>
      </c>
      <c r="H34" s="200" t="str">
        <f t="shared" si="0"/>
        <v xml:space="preserve"> </v>
      </c>
      <c r="K34" s="174"/>
      <c r="S34" s="174"/>
    </row>
    <row r="35" spans="1:24" x14ac:dyDescent="0.35">
      <c r="D35" s="196"/>
      <c r="E35" s="197"/>
      <c r="F35" s="192"/>
      <c r="G35" s="199"/>
      <c r="H35" s="200" t="str">
        <f t="shared" si="0"/>
        <v xml:space="preserve"> </v>
      </c>
      <c r="K35" s="174"/>
      <c r="S35" s="174"/>
    </row>
    <row r="36" spans="1:24" x14ac:dyDescent="0.35">
      <c r="B36" s="19" t="s">
        <v>231</v>
      </c>
      <c r="C36" s="33">
        <v>6</v>
      </c>
      <c r="D36" s="196" t="s">
        <v>232</v>
      </c>
      <c r="E36" s="199">
        <f>SUM(G14:G35)*$C$36/12</f>
        <v>108.90500000000002</v>
      </c>
      <c r="F36" s="211">
        <v>7.0000000000000007E-2</v>
      </c>
      <c r="G36" s="199">
        <f>ROUND((E36*F36),2)</f>
        <v>7.62</v>
      </c>
      <c r="H36" s="200" t="str">
        <f t="shared" si="0"/>
        <v xml:space="preserve"> </v>
      </c>
      <c r="K36" s="174"/>
      <c r="S36" s="174"/>
    </row>
    <row r="37" spans="1:24" ht="16" thickBot="1" x14ac:dyDescent="0.4">
      <c r="E37" s="193"/>
      <c r="F37" s="192"/>
      <c r="G37" s="212"/>
      <c r="H37" s="212"/>
    </row>
    <row r="38" spans="1:24" ht="16" thickTop="1" x14ac:dyDescent="0.35">
      <c r="A38" s="94"/>
      <c r="B38" s="213" t="s">
        <v>233</v>
      </c>
      <c r="C38" s="213"/>
      <c r="D38" s="213"/>
      <c r="E38" s="214">
        <f>G38/E10</f>
        <v>5.6357499999999998</v>
      </c>
      <c r="F38" s="215" t="s">
        <v>234</v>
      </c>
      <c r="G38" s="214">
        <f>SUM(G14:G36)</f>
        <v>225.43</v>
      </c>
      <c r="H38" s="200" t="str">
        <f>IF(G38=0," ",IF($H$5=1," ",$H$5*G38))</f>
        <v xml:space="preserve"> </v>
      </c>
      <c r="K38" s="174"/>
      <c r="S38" s="174" t="s">
        <v>43</v>
      </c>
      <c r="X38" s="75" t="s">
        <v>43</v>
      </c>
    </row>
    <row r="39" spans="1:24" ht="15" customHeight="1" x14ac:dyDescent="0.35">
      <c r="E39" s="191"/>
      <c r="F39" s="192"/>
      <c r="G39" s="193"/>
      <c r="H39" s="194"/>
      <c r="K39" s="174"/>
      <c r="S39" s="174" t="s">
        <v>43</v>
      </c>
    </row>
    <row r="40" spans="1:24" ht="15" customHeight="1" x14ac:dyDescent="0.35">
      <c r="A40" s="195" t="s">
        <v>235</v>
      </c>
      <c r="E40" s="191"/>
      <c r="F40" s="192"/>
      <c r="G40" s="193"/>
      <c r="H40" s="194"/>
      <c r="K40" s="174"/>
      <c r="S40" s="174"/>
    </row>
    <row r="41" spans="1:24" ht="15" customHeight="1" x14ac:dyDescent="0.35">
      <c r="B41" s="19" t="s">
        <v>222</v>
      </c>
      <c r="D41" s="196" t="s">
        <v>223</v>
      </c>
      <c r="E41" s="207">
        <f>F87/F89</f>
        <v>2.9617021276595743</v>
      </c>
      <c r="F41" s="209">
        <v>4</v>
      </c>
      <c r="G41" s="199">
        <f t="shared" ref="G41:G46" si="2">ROUND((E41*F41),2)</f>
        <v>11.85</v>
      </c>
      <c r="H41" s="200" t="str">
        <f t="shared" ref="H41:H46" si="3">IF($H$5=1," ",IF(E41=0," ",$H$5*G41))</f>
        <v xml:space="preserve"> </v>
      </c>
      <c r="K41" s="174"/>
      <c r="S41" s="174"/>
    </row>
    <row r="42" spans="1:24" ht="15" customHeight="1" x14ac:dyDescent="0.35">
      <c r="B42" s="19" t="s">
        <v>224</v>
      </c>
      <c r="D42" s="196" t="s">
        <v>214</v>
      </c>
      <c r="E42" s="207">
        <f>$E$55</f>
        <v>1</v>
      </c>
      <c r="F42" s="210">
        <f>G87</f>
        <v>6.82</v>
      </c>
      <c r="G42" s="199">
        <f t="shared" si="2"/>
        <v>6.82</v>
      </c>
      <c r="H42" s="200" t="str">
        <f t="shared" si="3"/>
        <v xml:space="preserve"> </v>
      </c>
      <c r="K42" s="174"/>
      <c r="S42" s="174"/>
    </row>
    <row r="43" spans="1:24" x14ac:dyDescent="0.35">
      <c r="B43" s="19" t="s">
        <v>236</v>
      </c>
      <c r="D43" s="196" t="s">
        <v>226</v>
      </c>
      <c r="E43" s="193">
        <f>D87</f>
        <v>0.36</v>
      </c>
      <c r="F43" s="198">
        <v>15</v>
      </c>
      <c r="G43" s="199">
        <f t="shared" si="2"/>
        <v>5.4</v>
      </c>
      <c r="H43" s="200" t="str">
        <f t="shared" si="3"/>
        <v xml:space="preserve"> </v>
      </c>
      <c r="K43" s="174"/>
      <c r="S43" s="174" t="s">
        <v>43</v>
      </c>
    </row>
    <row r="44" spans="1:24" x14ac:dyDescent="0.35">
      <c r="B44" s="19" t="s">
        <v>237</v>
      </c>
      <c r="D44" s="196" t="s">
        <v>202</v>
      </c>
      <c r="E44" s="193">
        <f>$E$10</f>
        <v>40</v>
      </c>
      <c r="F44" s="198">
        <v>0.18</v>
      </c>
      <c r="G44" s="199">
        <f t="shared" si="2"/>
        <v>7.2</v>
      </c>
      <c r="H44" s="200" t="str">
        <f t="shared" si="3"/>
        <v xml:space="preserve"> </v>
      </c>
      <c r="K44" s="174"/>
      <c r="S44" s="174" t="s">
        <v>43</v>
      </c>
    </row>
    <row r="45" spans="1:24" x14ac:dyDescent="0.35">
      <c r="B45" s="19" t="s">
        <v>238</v>
      </c>
      <c r="D45" s="196" t="s">
        <v>202</v>
      </c>
      <c r="E45" s="193">
        <f>$E$10</f>
        <v>40</v>
      </c>
      <c r="F45" s="198">
        <v>0</v>
      </c>
      <c r="G45" s="199">
        <f t="shared" si="2"/>
        <v>0</v>
      </c>
      <c r="H45" s="200" t="str">
        <f t="shared" si="3"/>
        <v xml:space="preserve"> </v>
      </c>
      <c r="K45" s="174"/>
      <c r="S45" s="174" t="s">
        <v>43</v>
      </c>
    </row>
    <row r="46" spans="1:24" x14ac:dyDescent="0.35">
      <c r="B46" s="19" t="s">
        <v>239</v>
      </c>
      <c r="D46" s="196" t="s">
        <v>202</v>
      </c>
      <c r="E46" s="193">
        <f>$E$10</f>
        <v>40</v>
      </c>
      <c r="F46" s="198">
        <v>0</v>
      </c>
      <c r="G46" s="199">
        <f t="shared" si="2"/>
        <v>0</v>
      </c>
      <c r="H46" s="200" t="str">
        <f t="shared" si="3"/>
        <v xml:space="preserve"> </v>
      </c>
      <c r="K46" s="174"/>
      <c r="S46" s="174" t="s">
        <v>43</v>
      </c>
    </row>
    <row r="47" spans="1:24" ht="16" thickBot="1" x14ac:dyDescent="0.4">
      <c r="E47" s="193"/>
      <c r="F47" s="192"/>
      <c r="G47" s="212"/>
      <c r="H47" s="212"/>
      <c r="K47" s="174"/>
      <c r="S47" s="174" t="s">
        <v>43</v>
      </c>
      <c r="X47" s="75" t="s">
        <v>43</v>
      </c>
    </row>
    <row r="48" spans="1:24" ht="16" thickTop="1" x14ac:dyDescent="0.35">
      <c r="A48" s="94"/>
      <c r="B48" s="213" t="s">
        <v>240</v>
      </c>
      <c r="C48" s="94"/>
      <c r="D48" s="94"/>
      <c r="E48" s="214">
        <f>G48/E10</f>
        <v>0.78174999999999994</v>
      </c>
      <c r="F48" s="215" t="s">
        <v>234</v>
      </c>
      <c r="G48" s="214">
        <f>SUM(G40:G47)</f>
        <v>31.27</v>
      </c>
      <c r="H48" s="200" t="str">
        <f>IF(G48=0," ",IF($H$5=1," ",$H$5*G48))</f>
        <v xml:space="preserve"> </v>
      </c>
      <c r="K48" s="174"/>
      <c r="S48" s="174" t="s">
        <v>43</v>
      </c>
      <c r="X48" s="75" t="s">
        <v>43</v>
      </c>
    </row>
    <row r="49" spans="1:24" x14ac:dyDescent="0.35">
      <c r="A49" s="87"/>
      <c r="B49" s="87"/>
      <c r="C49" s="216" t="s">
        <v>241</v>
      </c>
      <c r="D49" s="87"/>
      <c r="E49" s="617" t="s">
        <v>242</v>
      </c>
      <c r="F49" s="618"/>
      <c r="G49" s="217"/>
      <c r="H49" s="218"/>
      <c r="K49" s="174"/>
      <c r="S49" s="174"/>
      <c r="X49" s="75"/>
    </row>
    <row r="50" spans="1:24" x14ac:dyDescent="0.35">
      <c r="A50" s="219" t="s">
        <v>98</v>
      </c>
      <c r="B50" s="219"/>
      <c r="C50" s="220">
        <f>G50/$F$10</f>
        <v>28.522222222222222</v>
      </c>
      <c r="D50" s="221" t="s">
        <v>202</v>
      </c>
      <c r="E50" s="217">
        <f>G50/$E$10</f>
        <v>6.4174999999999995</v>
      </c>
      <c r="F50" s="222" t="s">
        <v>234</v>
      </c>
      <c r="G50" s="217">
        <f>G38+G48</f>
        <v>256.7</v>
      </c>
      <c r="H50" s="200" t="str">
        <f>IF(G50=0," ",IF($H$5=1," ",$H$5*G50))</f>
        <v xml:space="preserve"> </v>
      </c>
      <c r="K50" s="174"/>
      <c r="S50" s="174"/>
      <c r="X50" s="75"/>
    </row>
    <row r="51" spans="1:24" x14ac:dyDescent="0.35">
      <c r="A51" s="219"/>
      <c r="B51" s="219"/>
      <c r="C51" s="223"/>
      <c r="D51" s="196"/>
      <c r="E51" s="217"/>
      <c r="F51" s="222"/>
      <c r="G51" s="217"/>
      <c r="H51" s="224"/>
      <c r="K51" s="174"/>
      <c r="S51" s="174"/>
      <c r="X51" s="75"/>
    </row>
    <row r="52" spans="1:24" x14ac:dyDescent="0.35">
      <c r="A52" s="219" t="s">
        <v>243</v>
      </c>
      <c r="B52" s="219"/>
      <c r="C52" s="223"/>
      <c r="D52" s="196"/>
      <c r="E52" s="217"/>
      <c r="F52" s="222"/>
      <c r="G52" s="217">
        <f>G12-G50</f>
        <v>103.30000000000001</v>
      </c>
      <c r="H52" s="200" t="str">
        <f>IF(G52=0," ",IF($H$5=1," ",$H$5*G52))</f>
        <v xml:space="preserve"> </v>
      </c>
      <c r="K52" s="174"/>
      <c r="S52" s="174"/>
      <c r="X52" s="75"/>
    </row>
    <row r="53" spans="1:24" x14ac:dyDescent="0.35">
      <c r="G53" s="225"/>
      <c r="H53" s="225"/>
    </row>
    <row r="54" spans="1:24" ht="19.5" customHeight="1" x14ac:dyDescent="0.35">
      <c r="A54" s="195" t="s">
        <v>244</v>
      </c>
      <c r="D54" s="196"/>
      <c r="E54" s="191"/>
      <c r="F54" s="192"/>
      <c r="G54" s="193" t="s">
        <v>43</v>
      </c>
      <c r="H54" s="194"/>
      <c r="K54" s="174"/>
      <c r="S54" s="174" t="s">
        <v>43</v>
      </c>
      <c r="X54" s="75" t="s">
        <v>43</v>
      </c>
    </row>
    <row r="55" spans="1:24" x14ac:dyDescent="0.35">
      <c r="B55" s="19" t="s">
        <v>245</v>
      </c>
      <c r="D55" s="196" t="s">
        <v>214</v>
      </c>
      <c r="E55" s="226">
        <v>1</v>
      </c>
      <c r="F55" s="210">
        <f>H82+H87</f>
        <v>50.73</v>
      </c>
      <c r="G55" s="199">
        <f>ROUND((E55*F55),2)</f>
        <v>50.73</v>
      </c>
      <c r="H55" s="200" t="str">
        <f>IF($H$5=1," ",IF(E55=0," ",$H$5*G55))</f>
        <v xml:space="preserve"> </v>
      </c>
    </row>
    <row r="56" spans="1:24" ht="16.5" customHeight="1" x14ac:dyDescent="0.35">
      <c r="A56" s="195" t="s">
        <v>246</v>
      </c>
      <c r="E56" s="191"/>
      <c r="F56" s="192"/>
      <c r="G56" s="193"/>
      <c r="H56" s="194"/>
      <c r="K56" s="174"/>
      <c r="S56" s="174" t="s">
        <v>43</v>
      </c>
    </row>
    <row r="57" spans="1:24" ht="18.75" customHeight="1" x14ac:dyDescent="0.35">
      <c r="B57" s="19" t="s">
        <v>247</v>
      </c>
      <c r="D57" s="196" t="s">
        <v>248</v>
      </c>
      <c r="E57" s="199">
        <f>(G50)</f>
        <v>256.7</v>
      </c>
      <c r="F57" s="211">
        <v>0.1</v>
      </c>
      <c r="G57" s="199">
        <f>ROUND((E57*F57),2)</f>
        <v>25.67</v>
      </c>
      <c r="H57" s="200" t="str">
        <f>IF($H$5=1," ",IF(E57=0," ",$H$5*G57))</f>
        <v xml:space="preserve"> </v>
      </c>
      <c r="K57" s="174"/>
      <c r="S57" s="174" t="s">
        <v>43</v>
      </c>
      <c r="X57" s="75" t="s">
        <v>43</v>
      </c>
    </row>
    <row r="58" spans="1:24" ht="16" thickBot="1" x14ac:dyDescent="0.4">
      <c r="D58" s="196" t="s">
        <v>43</v>
      </c>
      <c r="E58" s="193" t="s">
        <v>43</v>
      </c>
      <c r="F58" s="192"/>
      <c r="G58" s="227"/>
      <c r="H58" s="228"/>
      <c r="K58" s="174"/>
      <c r="S58" s="174" t="s">
        <v>43</v>
      </c>
    </row>
    <row r="59" spans="1:24" ht="16" thickTop="1" x14ac:dyDescent="0.35">
      <c r="A59" s="195" t="s">
        <v>249</v>
      </c>
      <c r="E59" s="193"/>
      <c r="F59" s="192"/>
      <c r="G59" s="201">
        <f>SUM(G55:G57)</f>
        <v>76.400000000000006</v>
      </c>
      <c r="H59" s="200" t="str">
        <f>IF(G59=0," ",IF($H$5=1," ",$H$5*G59))</f>
        <v xml:space="preserve"> </v>
      </c>
      <c r="K59" s="174"/>
      <c r="S59" s="174" t="s">
        <v>43</v>
      </c>
    </row>
    <row r="60" spans="1:24" x14ac:dyDescent="0.35">
      <c r="E60" s="193"/>
      <c r="F60" s="192"/>
      <c r="G60" s="193"/>
      <c r="H60" s="194"/>
      <c r="K60" s="174"/>
      <c r="S60" s="174" t="s">
        <v>43</v>
      </c>
      <c r="X60" s="75" t="s">
        <v>43</v>
      </c>
    </row>
    <row r="61" spans="1:24" ht="16" thickBot="1" x14ac:dyDescent="0.4">
      <c r="A61" s="219" t="s">
        <v>250</v>
      </c>
      <c r="B61" s="87"/>
      <c r="C61" s="87"/>
      <c r="D61" s="87"/>
      <c r="E61" s="217">
        <f>G61/$E$10</f>
        <v>8.3275000000000006</v>
      </c>
      <c r="F61" s="229" t="s">
        <v>234</v>
      </c>
      <c r="G61" s="230">
        <f>G50+G59</f>
        <v>333.1</v>
      </c>
      <c r="H61" s="200" t="str">
        <f>IF(G61=0," ",IF($H$5=1," ",$H$5*G61))</f>
        <v xml:space="preserve"> </v>
      </c>
      <c r="K61" s="174"/>
      <c r="S61" s="174" t="s">
        <v>43</v>
      </c>
      <c r="X61" s="75" t="s">
        <v>43</v>
      </c>
    </row>
    <row r="62" spans="1:24" ht="16.5" thickTop="1" thickBot="1" x14ac:dyDescent="0.4">
      <c r="E62" s="191"/>
      <c r="F62" s="192"/>
      <c r="G62" s="199"/>
      <c r="H62" s="194"/>
      <c r="K62" s="174"/>
      <c r="S62" s="174" t="s">
        <v>43</v>
      </c>
    </row>
    <row r="63" spans="1:24" ht="18.75" customHeight="1" thickTop="1" thickBot="1" x14ac:dyDescent="0.4">
      <c r="A63" s="231" t="s">
        <v>251</v>
      </c>
      <c r="B63" s="231"/>
      <c r="C63" s="231"/>
      <c r="D63" s="231"/>
      <c r="E63" s="232"/>
      <c r="F63" s="233"/>
      <c r="G63" s="234">
        <f>G12-G61</f>
        <v>26.899999999999977</v>
      </c>
      <c r="H63" s="235" t="str">
        <f>IF(G63=0," ",IF($H$5=1," ",$H$5*G63))</f>
        <v xml:space="preserve"> </v>
      </c>
      <c r="K63" s="174"/>
      <c r="S63" s="174" t="s">
        <v>43</v>
      </c>
      <c r="X63" s="75" t="s">
        <v>43</v>
      </c>
    </row>
    <row r="64" spans="1:24" ht="16" thickTop="1" x14ac:dyDescent="0.35">
      <c r="A64" s="236" t="s">
        <v>252</v>
      </c>
      <c r="K64" s="174"/>
      <c r="S64" s="174" t="s">
        <v>43</v>
      </c>
      <c r="X64" s="75" t="s">
        <v>43</v>
      </c>
    </row>
    <row r="65" spans="1:24" x14ac:dyDescent="0.35">
      <c r="A65" s="236" t="s">
        <v>253</v>
      </c>
    </row>
    <row r="68" spans="1:24" ht="16" thickBot="1" x14ac:dyDescent="0.4">
      <c r="K68" s="174"/>
      <c r="S68" s="174" t="s">
        <v>43</v>
      </c>
      <c r="X68" s="75" t="s">
        <v>43</v>
      </c>
    </row>
    <row r="69" spans="1:24" ht="20" x14ac:dyDescent="0.4">
      <c r="A69" s="237" t="str">
        <f>A3</f>
        <v>SOYBEANS-RR, Minimum Tillage (Productivity Group 1-2 Soils)</v>
      </c>
      <c r="B69" s="238"/>
      <c r="C69" s="238"/>
      <c r="D69" s="238"/>
      <c r="E69" s="238"/>
      <c r="F69" s="239"/>
      <c r="G69" s="238"/>
      <c r="H69" s="240"/>
      <c r="K69" s="174"/>
      <c r="S69" s="174" t="s">
        <v>43</v>
      </c>
      <c r="X69" s="75" t="s">
        <v>43</v>
      </c>
    </row>
    <row r="70" spans="1:24" ht="16" thickBot="1" x14ac:dyDescent="0.4">
      <c r="A70" s="241"/>
      <c r="B70" s="242" t="s">
        <v>254</v>
      </c>
      <c r="C70" s="242"/>
      <c r="D70" s="243"/>
      <c r="E70" s="243"/>
      <c r="F70" s="167"/>
      <c r="G70" s="243"/>
      <c r="H70" s="244"/>
      <c r="K70" s="174"/>
      <c r="S70" s="174" t="s">
        <v>43</v>
      </c>
      <c r="X70" s="75" t="s">
        <v>43</v>
      </c>
    </row>
    <row r="71" spans="1:24" x14ac:dyDescent="0.35">
      <c r="A71" s="245" t="s">
        <v>255</v>
      </c>
      <c r="B71" s="87" t="s">
        <v>256</v>
      </c>
      <c r="C71" s="246" t="s">
        <v>257</v>
      </c>
      <c r="D71" s="247" t="s">
        <v>258</v>
      </c>
      <c r="E71" s="248" t="s">
        <v>259</v>
      </c>
      <c r="F71" s="248" t="s">
        <v>260</v>
      </c>
      <c r="G71" s="247" t="s">
        <v>261</v>
      </c>
      <c r="H71" s="249" t="s">
        <v>262</v>
      </c>
      <c r="K71" s="174"/>
      <c r="S71" s="174" t="s">
        <v>43</v>
      </c>
      <c r="X71" s="75" t="s">
        <v>43</v>
      </c>
    </row>
    <row r="72" spans="1:24" x14ac:dyDescent="0.35">
      <c r="A72" s="250"/>
      <c r="B72" s="94"/>
      <c r="C72" s="251" t="s">
        <v>263</v>
      </c>
      <c r="D72" s="187" t="s">
        <v>264</v>
      </c>
      <c r="E72" s="188" t="s">
        <v>264</v>
      </c>
      <c r="F72" s="188" t="s">
        <v>265</v>
      </c>
      <c r="G72" s="187" t="s">
        <v>266</v>
      </c>
      <c r="H72" s="252" t="s">
        <v>266</v>
      </c>
      <c r="K72" s="174"/>
      <c r="S72" s="174" t="s">
        <v>43</v>
      </c>
      <c r="X72" s="75" t="s">
        <v>43</v>
      </c>
    </row>
    <row r="73" spans="1:24" x14ac:dyDescent="0.35">
      <c r="A73" s="253" t="s">
        <v>267</v>
      </c>
      <c r="B73" s="87"/>
      <c r="C73" s="87"/>
      <c r="D73" s="247"/>
      <c r="E73" s="247"/>
      <c r="F73" s="248"/>
      <c r="G73" s="248"/>
      <c r="H73" s="254"/>
      <c r="K73" s="174"/>
      <c r="S73" s="174" t="s">
        <v>43</v>
      </c>
    </row>
    <row r="74" spans="1:24" x14ac:dyDescent="0.35">
      <c r="A74" s="255" t="s">
        <v>268</v>
      </c>
      <c r="B74" s="256" t="s">
        <v>269</v>
      </c>
      <c r="C74" s="257">
        <v>1</v>
      </c>
      <c r="D74" s="258">
        <v>0.21</v>
      </c>
      <c r="E74" s="259">
        <v>0.19</v>
      </c>
      <c r="F74" s="260">
        <v>2.2599999999999998</v>
      </c>
      <c r="G74" s="260">
        <v>4.5199999999999996</v>
      </c>
      <c r="H74" s="261">
        <v>7.15</v>
      </c>
      <c r="K74" s="262"/>
      <c r="S74" s="174"/>
      <c r="X74" s="75" t="s">
        <v>43</v>
      </c>
    </row>
    <row r="75" spans="1:24" x14ac:dyDescent="0.35">
      <c r="A75" s="255"/>
      <c r="B75" s="256"/>
      <c r="C75" s="257"/>
      <c r="D75" s="258"/>
      <c r="E75" s="259"/>
      <c r="F75" s="260"/>
      <c r="G75" s="260"/>
      <c r="H75" s="261"/>
      <c r="K75" s="174"/>
      <c r="M75" s="196"/>
      <c r="S75" s="174" t="s">
        <v>43</v>
      </c>
      <c r="X75" s="75" t="s">
        <v>43</v>
      </c>
    </row>
    <row r="76" spans="1:24" x14ac:dyDescent="0.35">
      <c r="A76" s="255" t="s">
        <v>268</v>
      </c>
      <c r="B76" s="256" t="s">
        <v>270</v>
      </c>
      <c r="C76" s="257">
        <v>1</v>
      </c>
      <c r="D76" s="258">
        <v>0.1</v>
      </c>
      <c r="E76" s="259">
        <v>0.09</v>
      </c>
      <c r="F76" s="260">
        <v>0.8</v>
      </c>
      <c r="G76" s="260">
        <v>0.57999999999999996</v>
      </c>
      <c r="H76" s="261">
        <v>1.93</v>
      </c>
      <c r="K76" s="263"/>
      <c r="S76" s="174"/>
      <c r="X76" s="75" t="s">
        <v>43</v>
      </c>
    </row>
    <row r="77" spans="1:24" x14ac:dyDescent="0.35">
      <c r="A77" s="255" t="s">
        <v>271</v>
      </c>
      <c r="B77" s="256" t="s">
        <v>270</v>
      </c>
      <c r="C77" s="257">
        <v>1</v>
      </c>
      <c r="D77" s="258">
        <v>0.1</v>
      </c>
      <c r="E77" s="259">
        <v>0.09</v>
      </c>
      <c r="F77" s="260">
        <v>0.8</v>
      </c>
      <c r="G77" s="260">
        <v>0.57999999999999996</v>
      </c>
      <c r="H77" s="261">
        <v>1.93</v>
      </c>
      <c r="K77" s="263"/>
      <c r="S77" s="174"/>
      <c r="X77" s="75" t="s">
        <v>43</v>
      </c>
    </row>
    <row r="78" spans="1:24" x14ac:dyDescent="0.35">
      <c r="A78" s="255" t="s">
        <v>272</v>
      </c>
      <c r="B78" s="256" t="s">
        <v>270</v>
      </c>
      <c r="C78" s="257">
        <v>1</v>
      </c>
      <c r="D78" s="258">
        <v>0.1</v>
      </c>
      <c r="E78" s="259">
        <v>0.09</v>
      </c>
      <c r="F78" s="260">
        <v>0.8</v>
      </c>
      <c r="G78" s="260">
        <v>0.57999999999999996</v>
      </c>
      <c r="H78" s="261">
        <v>1.93</v>
      </c>
      <c r="K78" s="263"/>
      <c r="S78" s="174"/>
      <c r="X78" s="75" t="s">
        <v>43</v>
      </c>
    </row>
    <row r="79" spans="1:24" x14ac:dyDescent="0.35">
      <c r="A79" s="255"/>
      <c r="B79" s="256"/>
      <c r="C79" s="257"/>
      <c r="D79" s="258"/>
      <c r="E79" s="259"/>
      <c r="F79" s="260"/>
      <c r="G79" s="260"/>
      <c r="H79" s="261"/>
      <c r="K79" s="263"/>
      <c r="S79" s="174"/>
      <c r="X79" s="75" t="s">
        <v>43</v>
      </c>
    </row>
    <row r="80" spans="1:24" x14ac:dyDescent="0.35">
      <c r="A80" s="255"/>
      <c r="B80" s="256" t="s">
        <v>115</v>
      </c>
      <c r="C80" s="257"/>
      <c r="D80" s="258" t="s">
        <v>115</v>
      </c>
      <c r="E80" s="259">
        <v>0</v>
      </c>
      <c r="F80" s="260">
        <v>0</v>
      </c>
      <c r="G80" s="260">
        <v>0</v>
      </c>
      <c r="H80" s="261">
        <v>0</v>
      </c>
      <c r="K80" s="263"/>
      <c r="S80" s="174"/>
      <c r="X80" s="75" t="s">
        <v>43</v>
      </c>
    </row>
    <row r="81" spans="1:24" x14ac:dyDescent="0.35">
      <c r="A81" s="264">
        <v>0.25</v>
      </c>
      <c r="B81" s="87" t="s">
        <v>273</v>
      </c>
      <c r="C81" s="257"/>
      <c r="D81" s="265">
        <f>A81*SUM(D74:D80)</f>
        <v>0.1275</v>
      </c>
      <c r="E81" s="266"/>
      <c r="F81" s="156"/>
      <c r="G81" s="248"/>
      <c r="H81" s="254"/>
      <c r="J81" s="263"/>
      <c r="K81" s="263"/>
      <c r="L81" s="263"/>
      <c r="M81" s="263"/>
      <c r="S81" s="174"/>
      <c r="X81" s="75"/>
    </row>
    <row r="82" spans="1:24" x14ac:dyDescent="0.35">
      <c r="A82" s="267"/>
      <c r="B82" s="87" t="s">
        <v>274</v>
      </c>
      <c r="C82" s="257"/>
      <c r="D82" s="268">
        <f>ROUND(SUM(D73:D81),2)</f>
        <v>0.64</v>
      </c>
      <c r="E82" s="268">
        <f>SUM(E73:E80)</f>
        <v>0.45999999999999996</v>
      </c>
      <c r="F82" s="269">
        <f>SUM(F73:F80)</f>
        <v>4.6599999999999993</v>
      </c>
      <c r="G82" s="269">
        <f>SUM(G73:G80)</f>
        <v>6.26</v>
      </c>
      <c r="H82" s="270">
        <f>SUM(H73:H80)</f>
        <v>12.94</v>
      </c>
      <c r="J82" s="263"/>
      <c r="K82" s="263"/>
      <c r="L82" s="263"/>
      <c r="M82" s="263"/>
      <c r="S82" s="174"/>
      <c r="X82" s="75"/>
    </row>
    <row r="83" spans="1:24" x14ac:dyDescent="0.35">
      <c r="A83" s="271" t="s">
        <v>275</v>
      </c>
      <c r="B83" s="87"/>
      <c r="C83" s="257"/>
      <c r="D83" s="258"/>
      <c r="E83" s="272"/>
      <c r="F83" s="248"/>
      <c r="G83" s="248"/>
      <c r="H83" s="254"/>
      <c r="J83" s="263"/>
      <c r="K83" s="263"/>
      <c r="L83" s="263"/>
      <c r="M83" s="263"/>
      <c r="S83" s="174"/>
      <c r="X83" s="75"/>
    </row>
    <row r="84" spans="1:24" ht="16" customHeight="1" x14ac:dyDescent="0.35">
      <c r="A84" s="255" t="s">
        <v>276</v>
      </c>
      <c r="B84" s="256" t="s">
        <v>277</v>
      </c>
      <c r="C84" s="257">
        <v>1</v>
      </c>
      <c r="D84" s="258">
        <v>0.28999999999999998</v>
      </c>
      <c r="E84" s="259">
        <v>0.26</v>
      </c>
      <c r="F84" s="260">
        <v>6.96</v>
      </c>
      <c r="G84" s="260">
        <v>6.82</v>
      </c>
      <c r="H84" s="261">
        <v>37.79</v>
      </c>
      <c r="K84" s="263"/>
      <c r="X84" s="75" t="s">
        <v>43</v>
      </c>
    </row>
    <row r="85" spans="1:24" ht="16" customHeight="1" x14ac:dyDescent="0.35">
      <c r="A85" s="255"/>
      <c r="B85" s="256" t="s">
        <v>115</v>
      </c>
      <c r="C85" s="257"/>
      <c r="D85" s="258" t="s">
        <v>115</v>
      </c>
      <c r="E85" s="259">
        <v>0</v>
      </c>
      <c r="F85" s="260">
        <v>0</v>
      </c>
      <c r="G85" s="260">
        <v>0</v>
      </c>
      <c r="H85" s="261">
        <v>0</v>
      </c>
      <c r="K85" s="263"/>
      <c r="X85" s="75"/>
    </row>
    <row r="86" spans="1:24" ht="16" customHeight="1" x14ac:dyDescent="0.35">
      <c r="A86" s="264">
        <v>0.25</v>
      </c>
      <c r="B86" s="87" t="s">
        <v>273</v>
      </c>
      <c r="C86" s="257"/>
      <c r="D86" s="265">
        <f>A86*SUM(D84:D85)</f>
        <v>7.2499999999999995E-2</v>
      </c>
      <c r="E86" s="272"/>
      <c r="F86" s="248"/>
      <c r="G86" s="248"/>
      <c r="H86" s="254"/>
      <c r="K86" s="263"/>
      <c r="X86" s="75"/>
    </row>
    <row r="87" spans="1:24" x14ac:dyDescent="0.35">
      <c r="A87" s="273"/>
      <c r="B87" s="87" t="s">
        <v>278</v>
      </c>
      <c r="C87" s="87"/>
      <c r="D87" s="268">
        <f>ROUND(SUM(D84:D86),2)</f>
        <v>0.36</v>
      </c>
      <c r="E87" s="268">
        <f>SUM(E84:E86)</f>
        <v>0.26</v>
      </c>
      <c r="F87" s="269">
        <f>SUM(F84:F86)</f>
        <v>6.96</v>
      </c>
      <c r="G87" s="269">
        <f>SUM(G84:G86)</f>
        <v>6.82</v>
      </c>
      <c r="H87" s="270">
        <f>SUM(H84:H86)</f>
        <v>37.79</v>
      </c>
      <c r="K87" s="263"/>
      <c r="X87" s="75" t="s">
        <v>43</v>
      </c>
    </row>
    <row r="88" spans="1:24" ht="16" thickBot="1" x14ac:dyDescent="0.4">
      <c r="A88" s="274"/>
      <c r="B88" s="166"/>
      <c r="C88" s="166"/>
      <c r="D88" s="275"/>
      <c r="E88" s="275"/>
      <c r="F88" s="276"/>
      <c r="G88" s="277"/>
      <c r="H88" s="278"/>
    </row>
    <row r="89" spans="1:24" x14ac:dyDescent="0.35">
      <c r="F89" s="192">
        <v>2.35</v>
      </c>
      <c r="G89" s="19" t="s">
        <v>279</v>
      </c>
      <c r="M89" s="174"/>
      <c r="N89" s="263"/>
      <c r="O89" s="263"/>
      <c r="P89" s="263"/>
      <c r="Q89" s="263"/>
    </row>
    <row r="90" spans="1:24" x14ac:dyDescent="0.35">
      <c r="A90" s="263"/>
      <c r="D90" s="262"/>
      <c r="E90" s="262"/>
      <c r="G90" s="262"/>
      <c r="H90" s="262"/>
      <c r="M90" s="174"/>
      <c r="X90" s="75" t="s">
        <v>43</v>
      </c>
    </row>
    <row r="91" spans="1:24" ht="16" thickBot="1" x14ac:dyDescent="0.4">
      <c r="A91" s="263"/>
      <c r="M91" s="174"/>
      <c r="X91" s="75" t="s">
        <v>43</v>
      </c>
    </row>
    <row r="92" spans="1:24" ht="16" thickBot="1" x14ac:dyDescent="0.4">
      <c r="A92" s="279"/>
      <c r="B92" s="280" t="s">
        <v>280</v>
      </c>
      <c r="C92" s="280"/>
      <c r="D92" s="280"/>
      <c r="E92" s="280"/>
      <c r="F92" s="281"/>
      <c r="G92" s="282"/>
      <c r="H92" s="283"/>
    </row>
    <row r="93" spans="1:24" x14ac:dyDescent="0.35">
      <c r="A93" s="284" t="s">
        <v>200</v>
      </c>
      <c r="B93" s="285"/>
      <c r="C93" s="286"/>
      <c r="D93" s="287"/>
      <c r="E93" s="288"/>
      <c r="F93" s="289" t="s">
        <v>281</v>
      </c>
      <c r="G93" s="287"/>
      <c r="H93" s="290"/>
      <c r="L93" s="174"/>
    </row>
    <row r="94" spans="1:24" ht="16" thickBot="1" x14ac:dyDescent="0.4">
      <c r="A94" s="284" t="s">
        <v>282</v>
      </c>
      <c r="B94" s="291" t="s">
        <v>283</v>
      </c>
      <c r="C94" s="287"/>
      <c r="D94" s="287"/>
      <c r="E94" s="287"/>
      <c r="F94" s="292"/>
      <c r="G94" s="287"/>
      <c r="H94" s="293"/>
      <c r="K94" s="174"/>
      <c r="S94" s="174" t="s">
        <v>43</v>
      </c>
    </row>
    <row r="95" spans="1:24" x14ac:dyDescent="0.35">
      <c r="A95" s="294" t="s">
        <v>202</v>
      </c>
      <c r="B95" s="295" t="s">
        <v>284</v>
      </c>
      <c r="C95" s="296"/>
      <c r="D95" s="297">
        <f>ROUND(F95*(1-(2*$A$108)),2)</f>
        <v>7.2</v>
      </c>
      <c r="E95" s="296">
        <f>ROUND(F95*(1-($A$108)),2)</f>
        <v>8.1</v>
      </c>
      <c r="F95" s="296">
        <f>F10</f>
        <v>9</v>
      </c>
      <c r="G95" s="296">
        <f>ROUND(F95*(1+(1*$A$108)),2)</f>
        <v>9.9</v>
      </c>
      <c r="H95" s="298">
        <f>ROUND(F95*(1+(2*$A$108)),2)</f>
        <v>10.8</v>
      </c>
      <c r="K95" s="174"/>
      <c r="S95" s="174" t="s">
        <v>43</v>
      </c>
    </row>
    <row r="96" spans="1:24" x14ac:dyDescent="0.35">
      <c r="A96" s="299"/>
      <c r="B96" s="300"/>
      <c r="C96" s="301"/>
      <c r="D96" s="302"/>
      <c r="E96" s="303"/>
      <c r="F96" s="303"/>
      <c r="G96" s="303"/>
      <c r="H96" s="304"/>
      <c r="K96" s="174"/>
      <c r="S96" s="174" t="s">
        <v>43</v>
      </c>
      <c r="X96" s="75" t="s">
        <v>43</v>
      </c>
    </row>
    <row r="97" spans="1:24" x14ac:dyDescent="0.35">
      <c r="A97" s="305">
        <f>ROUND(A101*(1-(2*$A$108)),0)</f>
        <v>32</v>
      </c>
      <c r="B97" s="306">
        <f>($G$50-$G$44-$G$45-$G$46)+($A97*($F$44+$F$45+$F$46)-($G$19+$G$20))+(($A97/$A$101)*($G$19+$G$20))</f>
        <v>247.9</v>
      </c>
      <c r="C97" s="269"/>
      <c r="D97" s="307">
        <f>($A97*D$95)-$B97</f>
        <v>-17.5</v>
      </c>
      <c r="E97" s="307">
        <f>($A97*E$95)-$B97</f>
        <v>11.299999999999983</v>
      </c>
      <c r="F97" s="307">
        <f>($A97*F$95)-$B97</f>
        <v>40.099999999999994</v>
      </c>
      <c r="G97" s="307">
        <f>($A97*G$95)-$B97</f>
        <v>68.900000000000006</v>
      </c>
      <c r="H97" s="308">
        <f>($A97*H$95)-$B97</f>
        <v>97.700000000000017</v>
      </c>
      <c r="S97" s="174" t="s">
        <v>43</v>
      </c>
    </row>
    <row r="98" spans="1:24" x14ac:dyDescent="0.35">
      <c r="A98" s="305" t="s">
        <v>43</v>
      </c>
      <c r="B98" s="309"/>
      <c r="C98" s="268"/>
      <c r="D98" s="310"/>
      <c r="E98" s="310"/>
      <c r="F98" s="310"/>
      <c r="G98" s="310"/>
      <c r="H98" s="308"/>
      <c r="K98" s="174"/>
      <c r="S98" s="174" t="s">
        <v>43</v>
      </c>
      <c r="X98" s="75" t="s">
        <v>43</v>
      </c>
    </row>
    <row r="99" spans="1:24" x14ac:dyDescent="0.35">
      <c r="A99" s="305">
        <f>ROUND(A101*(1-($A$108)),0)</f>
        <v>36</v>
      </c>
      <c r="B99" s="306">
        <f>($G$50-$G$44-$G$45-$G$46)+($A99*($F$44+$F$45+$F$46)-($G$19+$G$20)+(($A99/$A$101)*($G$19+$G$20)))</f>
        <v>252.3</v>
      </c>
      <c r="C99" s="269"/>
      <c r="D99" s="307">
        <f>($A99*D$95)-$B99</f>
        <v>6.8999999999999773</v>
      </c>
      <c r="E99" s="307">
        <f>($A99*E$95)-$B99</f>
        <v>39.299999999999955</v>
      </c>
      <c r="F99" s="307">
        <f>($A99*F$95)-$B99</f>
        <v>71.699999999999989</v>
      </c>
      <c r="G99" s="307">
        <f>($A99*G$95)-$B99</f>
        <v>104.10000000000002</v>
      </c>
      <c r="H99" s="308">
        <f>($A99*H$95)-$B99</f>
        <v>136.5</v>
      </c>
      <c r="K99" s="174"/>
      <c r="S99" s="174" t="s">
        <v>43</v>
      </c>
      <c r="X99" s="75" t="s">
        <v>43</v>
      </c>
    </row>
    <row r="100" spans="1:24" x14ac:dyDescent="0.35">
      <c r="A100" s="305" t="s">
        <v>43</v>
      </c>
      <c r="B100" s="309"/>
      <c r="C100" s="268"/>
      <c r="D100" s="310"/>
      <c r="E100" s="310"/>
      <c r="F100" s="310"/>
      <c r="G100" s="310"/>
      <c r="H100" s="308"/>
      <c r="K100" s="174"/>
      <c r="S100" s="174" t="s">
        <v>43</v>
      </c>
      <c r="X100" s="75" t="s">
        <v>43</v>
      </c>
    </row>
    <row r="101" spans="1:24" x14ac:dyDescent="0.35">
      <c r="A101" s="305">
        <f>E10</f>
        <v>40</v>
      </c>
      <c r="B101" s="306">
        <f>($G$50-$G$44-$G$45-$G$46)+($A101*($F$44+$F$45+$F$46)-($G$19+$G$20)+(($A101/$A$101)*($G$19+$G$20)))</f>
        <v>256.7</v>
      </c>
      <c r="C101" s="269"/>
      <c r="D101" s="307">
        <f>($A101*D$95)-$B101</f>
        <v>31.300000000000011</v>
      </c>
      <c r="E101" s="307">
        <f>($A101*E$95)-$B101</f>
        <v>67.300000000000011</v>
      </c>
      <c r="F101" s="307">
        <f>($A101*F$95)-$B101</f>
        <v>103.30000000000001</v>
      </c>
      <c r="G101" s="307">
        <f>($A101*G$95)-$B101</f>
        <v>139.30000000000001</v>
      </c>
      <c r="H101" s="308">
        <f>($A101*H$95)-$B101</f>
        <v>175.3</v>
      </c>
      <c r="K101" s="174"/>
      <c r="S101" s="174" t="s">
        <v>43</v>
      </c>
      <c r="X101" s="75" t="s">
        <v>43</v>
      </c>
    </row>
    <row r="102" spans="1:24" x14ac:dyDescent="0.35">
      <c r="A102" s="305" t="s">
        <v>43</v>
      </c>
      <c r="B102" s="309"/>
      <c r="C102" s="268"/>
      <c r="D102" s="310"/>
      <c r="E102" s="310"/>
      <c r="F102" s="310"/>
      <c r="G102" s="310"/>
      <c r="H102" s="308"/>
      <c r="K102" s="174"/>
      <c r="S102" s="174" t="s">
        <v>43</v>
      </c>
    </row>
    <row r="103" spans="1:24" x14ac:dyDescent="0.35">
      <c r="A103" s="305">
        <f>ROUND(A101*(1+(1*$A$108)),0)</f>
        <v>44</v>
      </c>
      <c r="B103" s="306">
        <f>($G$50-$G$44-$G$45-$G$46)+($A103*($F$44+$F$45+$F$46)-($G$19+$G$20)+(($A103/$A$101)*($G$19+$G$20)))</f>
        <v>261.10000000000002</v>
      </c>
      <c r="C103" s="269"/>
      <c r="D103" s="307">
        <f>($A103*D$95)-$B103</f>
        <v>55.699999999999989</v>
      </c>
      <c r="E103" s="307">
        <f>($A103*E$95)-$B103</f>
        <v>95.299999999999955</v>
      </c>
      <c r="F103" s="307">
        <f>($A103*F$95)-$B103</f>
        <v>134.89999999999998</v>
      </c>
      <c r="G103" s="307">
        <f>($A103*G$95)-$B103</f>
        <v>174.5</v>
      </c>
      <c r="H103" s="308">
        <f>($A103*H$95)-$B103</f>
        <v>214.10000000000002</v>
      </c>
      <c r="K103" s="174"/>
      <c r="S103" s="174" t="s">
        <v>43</v>
      </c>
      <c r="X103" s="75" t="s">
        <v>43</v>
      </c>
    </row>
    <row r="104" spans="1:24" x14ac:dyDescent="0.35">
      <c r="A104" s="311"/>
      <c r="B104" s="309"/>
      <c r="C104" s="268"/>
      <c r="D104" s="310"/>
      <c r="E104" s="310"/>
      <c r="F104" s="310"/>
      <c r="G104" s="310"/>
      <c r="H104" s="308"/>
      <c r="K104" s="174"/>
      <c r="S104" s="174" t="s">
        <v>43</v>
      </c>
    </row>
    <row r="105" spans="1:24" x14ac:dyDescent="0.35">
      <c r="A105" s="305">
        <f>ROUND(A101*(1+(2*$A$108)),0)</f>
        <v>48</v>
      </c>
      <c r="B105" s="306">
        <f>($G$50-$G$44-$G$45-$G$46)+($A105*($F$44+$F$45+$F$46)-($G$19+$G$20)+(($A105/$A$101)*($G$19+$G$20)))</f>
        <v>265.5</v>
      </c>
      <c r="C105" s="269"/>
      <c r="D105" s="307">
        <f>($A105*D$95)-$B105</f>
        <v>80.100000000000023</v>
      </c>
      <c r="E105" s="307">
        <f>($A105*E$95)-$B105</f>
        <v>123.29999999999995</v>
      </c>
      <c r="F105" s="307">
        <f>($A105*F$95)-$B105</f>
        <v>166.5</v>
      </c>
      <c r="G105" s="307">
        <f>($A105*G$95)-$B105</f>
        <v>209.70000000000005</v>
      </c>
      <c r="H105" s="308">
        <f>($A105*H$95)-$B105</f>
        <v>252.90000000000009</v>
      </c>
      <c r="K105" s="174"/>
      <c r="S105" s="174" t="s">
        <v>43</v>
      </c>
      <c r="X105" s="75" t="s">
        <v>43</v>
      </c>
    </row>
    <row r="106" spans="1:24" ht="16" thickBot="1" x14ac:dyDescent="0.4">
      <c r="A106" s="312"/>
      <c r="B106" s="313"/>
      <c r="C106" s="165"/>
      <c r="D106" s="165"/>
      <c r="E106" s="165"/>
      <c r="F106" s="314"/>
      <c r="G106" s="165"/>
      <c r="H106" s="315"/>
      <c r="K106" s="174"/>
      <c r="S106" s="174" t="s">
        <v>43</v>
      </c>
    </row>
    <row r="107" spans="1:24" x14ac:dyDescent="0.35">
      <c r="A107" s="263"/>
      <c r="K107" s="174"/>
      <c r="S107" s="174" t="s">
        <v>43</v>
      </c>
      <c r="X107" s="75" t="s">
        <v>43</v>
      </c>
    </row>
    <row r="108" spans="1:24" x14ac:dyDescent="0.35">
      <c r="A108" s="316">
        <v>0.1</v>
      </c>
      <c r="B108" s="19" t="s">
        <v>108</v>
      </c>
      <c r="K108" s="174"/>
      <c r="S108" s="174" t="s">
        <v>43</v>
      </c>
    </row>
    <row r="109" spans="1:24" ht="16" thickBot="1" x14ac:dyDescent="0.4">
      <c r="A109" s="263"/>
      <c r="K109" s="174"/>
      <c r="S109" s="174" t="s">
        <v>43</v>
      </c>
      <c r="X109" s="75" t="s">
        <v>43</v>
      </c>
    </row>
    <row r="110" spans="1:24" ht="16" thickBot="1" x14ac:dyDescent="0.4">
      <c r="A110" s="317"/>
      <c r="B110" s="318" t="s">
        <v>285</v>
      </c>
      <c r="C110" s="318"/>
      <c r="D110" s="319"/>
      <c r="E110" s="319"/>
      <c r="F110" s="320"/>
      <c r="G110" s="319"/>
      <c r="H110" s="321"/>
      <c r="K110" s="174"/>
      <c r="S110" s="174" t="s">
        <v>43</v>
      </c>
    </row>
    <row r="111" spans="1:24" x14ac:dyDescent="0.35">
      <c r="A111" s="317"/>
      <c r="B111" s="319"/>
      <c r="C111" s="319"/>
      <c r="D111" s="319"/>
      <c r="E111" s="322"/>
      <c r="F111" s="323" t="s">
        <v>196</v>
      </c>
      <c r="G111" s="322" t="s">
        <v>58</v>
      </c>
      <c r="H111" s="324"/>
      <c r="K111" s="174"/>
      <c r="S111" s="174" t="s">
        <v>43</v>
      </c>
      <c r="X111" s="75" t="s">
        <v>43</v>
      </c>
    </row>
    <row r="112" spans="1:24" x14ac:dyDescent="0.35">
      <c r="A112" s="325" t="s">
        <v>286</v>
      </c>
      <c r="B112" s="94" t="s">
        <v>287</v>
      </c>
      <c r="C112" s="94"/>
      <c r="D112" s="186" t="s">
        <v>55</v>
      </c>
      <c r="E112" s="187" t="s">
        <v>57</v>
      </c>
      <c r="F112" s="188" t="s">
        <v>199</v>
      </c>
      <c r="G112" s="187" t="s">
        <v>198</v>
      </c>
      <c r="H112" s="252" t="s">
        <v>255</v>
      </c>
      <c r="K112" s="174"/>
      <c r="S112" s="174"/>
      <c r="X112" s="75"/>
    </row>
    <row r="113" spans="1:24" x14ac:dyDescent="0.35">
      <c r="A113" s="326"/>
      <c r="B113" s="327" t="s">
        <v>115</v>
      </c>
      <c r="C113" s="328"/>
      <c r="D113" s="329" t="s">
        <v>115</v>
      </c>
      <c r="E113" s="258"/>
      <c r="F113" s="198" t="s">
        <v>115</v>
      </c>
      <c r="G113" s="330" t="str">
        <f>IF(E113=0," ",ROUND((E113*F113),2))</f>
        <v xml:space="preserve"> </v>
      </c>
      <c r="H113" s="331"/>
      <c r="K113" s="156"/>
      <c r="L113" s="155"/>
      <c r="M113" s="155"/>
      <c r="N113" s="155"/>
      <c r="S113" s="174"/>
      <c r="X113" s="75"/>
    </row>
    <row r="114" spans="1:24" x14ac:dyDescent="0.35">
      <c r="A114" s="332" t="s">
        <v>115</v>
      </c>
      <c r="B114" s="327" t="s">
        <v>115</v>
      </c>
      <c r="C114" s="328"/>
      <c r="D114" s="329" t="s">
        <v>115</v>
      </c>
      <c r="E114" s="258"/>
      <c r="F114" s="198" t="s">
        <v>115</v>
      </c>
      <c r="G114" s="330" t="str">
        <f t="shared" ref="G114:G121" si="4">IF(E114=0," ",ROUND((E114*F114),2))</f>
        <v xml:space="preserve"> </v>
      </c>
      <c r="H114" s="331"/>
      <c r="K114" s="156"/>
      <c r="L114" s="155"/>
      <c r="M114" s="155"/>
      <c r="N114" s="155"/>
      <c r="S114" s="174" t="s">
        <v>43</v>
      </c>
      <c r="X114" s="75" t="s">
        <v>43</v>
      </c>
    </row>
    <row r="115" spans="1:24" x14ac:dyDescent="0.35">
      <c r="A115" s="326" t="s">
        <v>288</v>
      </c>
      <c r="B115" s="328" t="s">
        <v>289</v>
      </c>
      <c r="C115" s="328"/>
      <c r="D115" s="329" t="s">
        <v>290</v>
      </c>
      <c r="E115" s="258">
        <v>1.5</v>
      </c>
      <c r="F115" s="198">
        <v>5.19</v>
      </c>
      <c r="G115" s="330">
        <f t="shared" si="4"/>
        <v>7.79</v>
      </c>
      <c r="H115" s="331" t="s">
        <v>291</v>
      </c>
      <c r="K115" s="156"/>
      <c r="L115" s="155"/>
      <c r="M115" s="155"/>
      <c r="N115" s="155"/>
      <c r="S115" s="174" t="s">
        <v>43</v>
      </c>
      <c r="X115" s="75" t="s">
        <v>43</v>
      </c>
    </row>
    <row r="116" spans="1:24" x14ac:dyDescent="0.35">
      <c r="A116" s="326" t="s">
        <v>288</v>
      </c>
      <c r="B116" s="328" t="s">
        <v>289</v>
      </c>
      <c r="C116" s="328"/>
      <c r="D116" s="329" t="s">
        <v>290</v>
      </c>
      <c r="E116" s="258">
        <v>1.5</v>
      </c>
      <c r="F116" s="198">
        <v>5.19</v>
      </c>
      <c r="G116" s="330">
        <f t="shared" si="4"/>
        <v>7.79</v>
      </c>
      <c r="H116" s="331" t="s">
        <v>292</v>
      </c>
      <c r="K116" s="156"/>
      <c r="L116" s="155"/>
      <c r="M116" s="155"/>
      <c r="N116" s="155"/>
      <c r="S116" s="174"/>
      <c r="X116" s="75"/>
    </row>
    <row r="117" spans="1:24" x14ac:dyDescent="0.35">
      <c r="A117" s="326"/>
      <c r="B117" s="328"/>
      <c r="C117" s="328"/>
      <c r="D117" s="329"/>
      <c r="E117" s="258"/>
      <c r="F117" s="198"/>
      <c r="G117" s="330" t="str">
        <f t="shared" si="4"/>
        <v xml:space="preserve"> </v>
      </c>
      <c r="H117" s="331"/>
      <c r="K117" s="156"/>
      <c r="L117" s="155"/>
      <c r="M117" s="155"/>
      <c r="N117" s="155"/>
      <c r="S117" s="174"/>
      <c r="X117" s="75"/>
    </row>
    <row r="118" spans="1:24" x14ac:dyDescent="0.35">
      <c r="A118" s="332" t="s">
        <v>115</v>
      </c>
      <c r="B118" s="327" t="s">
        <v>115</v>
      </c>
      <c r="C118" s="328"/>
      <c r="D118" s="329" t="s">
        <v>115</v>
      </c>
      <c r="E118" s="258"/>
      <c r="F118" s="198" t="s">
        <v>115</v>
      </c>
      <c r="G118" s="330" t="str">
        <f t="shared" si="4"/>
        <v xml:space="preserve"> </v>
      </c>
      <c r="H118" s="331"/>
      <c r="K118" s="156"/>
      <c r="L118" s="155"/>
      <c r="M118" s="155"/>
      <c r="N118" s="155"/>
      <c r="S118" s="174"/>
      <c r="X118" s="75"/>
    </row>
    <row r="119" spans="1:24" x14ac:dyDescent="0.35">
      <c r="A119" s="326" t="s">
        <v>293</v>
      </c>
      <c r="B119" s="328" t="s">
        <v>294</v>
      </c>
      <c r="C119" s="328"/>
      <c r="D119" s="329" t="s">
        <v>295</v>
      </c>
      <c r="E119" s="258">
        <v>3.9</v>
      </c>
      <c r="F119" s="198">
        <v>0.64</v>
      </c>
      <c r="G119" s="330">
        <f t="shared" si="4"/>
        <v>2.5</v>
      </c>
      <c r="H119" s="331" t="s">
        <v>296</v>
      </c>
      <c r="K119" s="156"/>
      <c r="L119" s="155"/>
      <c r="M119" s="155"/>
      <c r="N119" s="155"/>
      <c r="S119" s="174" t="s">
        <v>43</v>
      </c>
      <c r="X119" s="75" t="s">
        <v>43</v>
      </c>
    </row>
    <row r="120" spans="1:24" x14ac:dyDescent="0.35">
      <c r="A120" s="332" t="s">
        <v>115</v>
      </c>
      <c r="B120" s="327" t="s">
        <v>115</v>
      </c>
      <c r="C120" s="328"/>
      <c r="D120" s="329" t="s">
        <v>115</v>
      </c>
      <c r="E120" s="258"/>
      <c r="F120" s="198" t="s">
        <v>115</v>
      </c>
      <c r="G120" s="330" t="str">
        <f t="shared" si="4"/>
        <v xml:space="preserve"> </v>
      </c>
      <c r="H120" s="331"/>
      <c r="K120" s="156"/>
      <c r="L120" s="155"/>
      <c r="M120" s="155"/>
      <c r="N120" s="155"/>
      <c r="S120" s="174" t="s">
        <v>43</v>
      </c>
      <c r="X120" s="75" t="s">
        <v>43</v>
      </c>
    </row>
    <row r="121" spans="1:24" x14ac:dyDescent="0.35">
      <c r="A121" s="333" t="s">
        <v>115</v>
      </c>
      <c r="B121" s="334"/>
      <c r="C121" s="335"/>
      <c r="D121" s="335"/>
      <c r="E121" s="336"/>
      <c r="F121" s="337"/>
      <c r="G121" s="338" t="str">
        <f t="shared" si="4"/>
        <v xml:space="preserve"> </v>
      </c>
      <c r="H121" s="339"/>
      <c r="K121" s="156"/>
      <c r="L121" s="155"/>
      <c r="M121" s="155"/>
      <c r="N121" s="155"/>
      <c r="S121" s="174" t="s">
        <v>43</v>
      </c>
      <c r="X121" s="75" t="s">
        <v>43</v>
      </c>
    </row>
    <row r="122" spans="1:24" x14ac:dyDescent="0.35">
      <c r="A122" s="340" t="s">
        <v>297</v>
      </c>
      <c r="B122" s="341" t="s">
        <v>298</v>
      </c>
      <c r="C122" s="87"/>
      <c r="D122" s="87"/>
      <c r="E122" s="342"/>
      <c r="F122" s="343"/>
      <c r="G122" s="343"/>
      <c r="H122" s="344"/>
      <c r="K122" s="156"/>
      <c r="L122" s="155"/>
      <c r="M122" s="155"/>
      <c r="N122" s="155"/>
      <c r="S122" s="174" t="s">
        <v>43</v>
      </c>
      <c r="X122" s="75" t="s">
        <v>43</v>
      </c>
    </row>
    <row r="123" spans="1:24" ht="16" thickBot="1" x14ac:dyDescent="0.4">
      <c r="A123" s="345"/>
      <c r="B123" s="346"/>
      <c r="C123" s="166"/>
      <c r="D123" s="166"/>
      <c r="E123" s="166"/>
      <c r="F123" s="167"/>
      <c r="G123" s="166"/>
      <c r="H123" s="347"/>
      <c r="K123" s="174"/>
      <c r="S123" s="174" t="s">
        <v>43</v>
      </c>
      <c r="X123" s="75" t="s">
        <v>43</v>
      </c>
    </row>
    <row r="124" spans="1:24" x14ac:dyDescent="0.35">
      <c r="A124" s="348"/>
      <c r="E124" s="263"/>
      <c r="F124" s="349"/>
      <c r="G124" s="263"/>
      <c r="H124" s="263"/>
      <c r="K124" s="174"/>
      <c r="S124" s="174" t="s">
        <v>43</v>
      </c>
      <c r="X124" s="75" t="s">
        <v>43</v>
      </c>
    </row>
    <row r="125" spans="1:24" ht="15" customHeight="1" x14ac:dyDescent="0.35">
      <c r="B125" s="225"/>
      <c r="C125" s="225"/>
      <c r="D125" s="225"/>
      <c r="E125" s="350" t="s">
        <v>189</v>
      </c>
      <c r="F125" s="351"/>
      <c r="G125" s="352"/>
      <c r="H125" s="352"/>
      <c r="K125" s="174"/>
      <c r="S125" s="174"/>
      <c r="X125" s="75"/>
    </row>
    <row r="126" spans="1:24" ht="15" customHeight="1" x14ac:dyDescent="0.35">
      <c r="B126" s="225"/>
      <c r="C126" s="225"/>
      <c r="D126" s="225"/>
      <c r="E126" s="350" t="s">
        <v>190</v>
      </c>
      <c r="F126" s="353"/>
      <c r="G126" s="225"/>
      <c r="H126" s="352"/>
      <c r="K126" s="174"/>
      <c r="S126" s="174"/>
      <c r="X126" s="75"/>
    </row>
    <row r="127" spans="1:24" ht="15" customHeight="1" x14ac:dyDescent="0.35">
      <c r="E127" s="354"/>
      <c r="H127" s="263"/>
      <c r="K127" s="174"/>
      <c r="S127" s="174"/>
      <c r="X127" s="75"/>
    </row>
    <row r="128" spans="1:24" ht="15" customHeight="1" x14ac:dyDescent="0.35">
      <c r="E128" s="354"/>
      <c r="H128" s="263"/>
      <c r="K128" s="174"/>
      <c r="S128" s="174"/>
      <c r="X128" s="75"/>
    </row>
    <row r="129" spans="1:24" ht="15" customHeight="1" x14ac:dyDescent="0.35">
      <c r="E129" s="354"/>
      <c r="H129" s="263"/>
      <c r="K129" s="174"/>
      <c r="S129" s="174"/>
      <c r="X129" s="75"/>
    </row>
    <row r="130" spans="1:24" ht="15" customHeight="1" x14ac:dyDescent="0.35">
      <c r="E130" s="354"/>
      <c r="H130" s="263"/>
      <c r="K130" s="174"/>
      <c r="S130" s="174"/>
      <c r="X130" s="75"/>
    </row>
    <row r="131" spans="1:24" ht="15" customHeight="1" x14ac:dyDescent="0.35">
      <c r="E131" s="354"/>
      <c r="H131" s="263"/>
      <c r="K131" s="174"/>
      <c r="S131" s="174"/>
      <c r="X131" s="75"/>
    </row>
    <row r="132" spans="1:24" ht="15" customHeight="1" x14ac:dyDescent="0.35">
      <c r="E132" s="354"/>
      <c r="H132" s="263"/>
      <c r="K132" s="174"/>
      <c r="S132" s="174"/>
      <c r="X132" s="75"/>
    </row>
    <row r="133" spans="1:24" ht="15" customHeight="1" x14ac:dyDescent="0.35">
      <c r="E133" s="354"/>
      <c r="H133" s="263"/>
      <c r="K133" s="174"/>
      <c r="S133" s="174"/>
      <c r="X133" s="75"/>
    </row>
    <row r="134" spans="1:24" ht="15" customHeight="1" x14ac:dyDescent="0.35">
      <c r="E134" s="354"/>
      <c r="H134" s="263"/>
      <c r="K134" s="174"/>
      <c r="S134" s="174"/>
      <c r="X134" s="75"/>
    </row>
    <row r="135" spans="1:24" ht="15" customHeight="1" x14ac:dyDescent="0.35">
      <c r="E135" s="354"/>
      <c r="H135" s="263"/>
      <c r="K135" s="174"/>
      <c r="S135" s="174"/>
      <c r="X135" s="75"/>
    </row>
    <row r="136" spans="1:24" ht="15" customHeight="1" x14ac:dyDescent="0.35">
      <c r="E136" s="354"/>
      <c r="H136" s="263"/>
      <c r="K136" s="174"/>
      <c r="S136" s="174"/>
      <c r="X136" s="75"/>
    </row>
    <row r="137" spans="1:24" ht="15" customHeight="1" x14ac:dyDescent="0.35">
      <c r="E137" s="354"/>
      <c r="H137" s="263"/>
      <c r="K137" s="174"/>
      <c r="S137" s="174"/>
      <c r="X137" s="75"/>
    </row>
    <row r="138" spans="1:24" ht="15" customHeight="1" x14ac:dyDescent="0.35">
      <c r="A138" s="263"/>
      <c r="E138" s="263"/>
      <c r="F138" s="349"/>
      <c r="G138" s="263"/>
      <c r="K138" s="174"/>
      <c r="S138" s="174" t="s">
        <v>43</v>
      </c>
      <c r="X138" s="75" t="s">
        <v>43</v>
      </c>
    </row>
    <row r="139" spans="1:24" ht="15" customHeight="1" x14ac:dyDescent="0.35">
      <c r="A139" s="263"/>
      <c r="B139" s="263"/>
      <c r="C139" s="263"/>
      <c r="D139" s="263"/>
      <c r="E139" s="263"/>
      <c r="F139" s="355"/>
      <c r="G139" s="263"/>
      <c r="H139" s="263"/>
      <c r="K139" s="174"/>
      <c r="S139" s="174" t="s">
        <v>43</v>
      </c>
      <c r="X139" s="75" t="s">
        <v>43</v>
      </c>
    </row>
    <row r="146" spans="1:15" x14ac:dyDescent="0.35">
      <c r="A146" s="19" t="s">
        <v>299</v>
      </c>
    </row>
    <row r="147" spans="1:15" x14ac:dyDescent="0.35">
      <c r="M147" s="263"/>
      <c r="N147" s="263"/>
    </row>
    <row r="149" spans="1:15" x14ac:dyDescent="0.35">
      <c r="L149" s="263"/>
      <c r="M149" s="263"/>
      <c r="N149" s="263"/>
      <c r="O149" s="262"/>
    </row>
    <row r="150" spans="1:15" x14ac:dyDescent="0.35">
      <c r="L150" s="263"/>
      <c r="M150" s="263"/>
      <c r="N150" s="263"/>
    </row>
    <row r="151" spans="1:15" x14ac:dyDescent="0.35">
      <c r="L151" s="263"/>
      <c r="M151" s="263"/>
      <c r="N151" s="263"/>
    </row>
    <row r="152" spans="1:15" x14ac:dyDescent="0.35">
      <c r="L152" s="263"/>
      <c r="M152" s="263"/>
      <c r="N152" s="263"/>
    </row>
    <row r="153" spans="1:15" x14ac:dyDescent="0.35">
      <c r="L153" s="263"/>
      <c r="M153" s="263"/>
      <c r="N153" s="263"/>
    </row>
    <row r="154" spans="1:15" x14ac:dyDescent="0.35">
      <c r="A154" s="19" t="s">
        <v>288</v>
      </c>
      <c r="B154" s="19" t="s">
        <v>300</v>
      </c>
      <c r="L154" s="263"/>
      <c r="M154" s="263"/>
      <c r="N154" s="263"/>
    </row>
    <row r="155" spans="1:15" x14ac:dyDescent="0.35">
      <c r="A155" s="19" t="s">
        <v>293</v>
      </c>
      <c r="B155" s="19" t="s">
        <v>301</v>
      </c>
      <c r="L155" s="263"/>
      <c r="M155" s="263"/>
      <c r="N155" s="263"/>
    </row>
    <row r="156" spans="1:15" x14ac:dyDescent="0.35">
      <c r="A156" s="19" t="s">
        <v>302</v>
      </c>
      <c r="B156" s="19" t="s">
        <v>303</v>
      </c>
    </row>
    <row r="157" spans="1:15" x14ac:dyDescent="0.35">
      <c r="A157" s="19" t="s">
        <v>304</v>
      </c>
      <c r="B157" s="19" t="s">
        <v>305</v>
      </c>
      <c r="L157" s="263"/>
      <c r="M157" s="263"/>
      <c r="N157" s="263"/>
    </row>
    <row r="158" spans="1:15" x14ac:dyDescent="0.35">
      <c r="A158" s="19" t="s">
        <v>306</v>
      </c>
      <c r="B158" s="19" t="s">
        <v>307</v>
      </c>
      <c r="L158" s="263"/>
      <c r="M158" s="263"/>
      <c r="N158" s="263"/>
    </row>
    <row r="159" spans="1:15" x14ac:dyDescent="0.35">
      <c r="A159" s="19" t="s">
        <v>308</v>
      </c>
      <c r="B159" s="19" t="s">
        <v>309</v>
      </c>
      <c r="L159" s="263"/>
      <c r="M159" s="263"/>
      <c r="N159" s="263"/>
    </row>
    <row r="160" spans="1:15" x14ac:dyDescent="0.35">
      <c r="A160" s="19" t="s">
        <v>310</v>
      </c>
      <c r="B160" s="19" t="s">
        <v>311</v>
      </c>
      <c r="L160" s="263"/>
      <c r="M160" s="263"/>
      <c r="N160" s="263"/>
    </row>
    <row r="161" spans="1:14" x14ac:dyDescent="0.35">
      <c r="A161" s="19" t="s">
        <v>312</v>
      </c>
      <c r="B161" s="19" t="s">
        <v>313</v>
      </c>
    </row>
    <row r="162" spans="1:14" x14ac:dyDescent="0.35">
      <c r="L162" s="263"/>
      <c r="M162" s="263"/>
      <c r="N162" s="263"/>
    </row>
    <row r="163" spans="1:14" x14ac:dyDescent="0.35">
      <c r="L163" s="263"/>
      <c r="M163" s="263"/>
      <c r="N163" s="263"/>
    </row>
    <row r="164" spans="1:14" x14ac:dyDescent="0.35">
      <c r="L164" s="263"/>
      <c r="M164" s="263"/>
      <c r="N164" s="263"/>
    </row>
    <row r="199" spans="1:2" x14ac:dyDescent="0.35">
      <c r="B199" s="175"/>
    </row>
    <row r="201" spans="1:2" x14ac:dyDescent="0.35">
      <c r="A201" s="175" t="s">
        <v>314</v>
      </c>
      <c r="B201" s="19" t="s">
        <v>315</v>
      </c>
    </row>
    <row r="202" spans="1:2" x14ac:dyDescent="0.35">
      <c r="A202" s="356" t="s">
        <v>316</v>
      </c>
    </row>
    <row r="203" spans="1:2" x14ac:dyDescent="0.35">
      <c r="A203" s="175" t="s">
        <v>317</v>
      </c>
      <c r="B203" s="19" t="s">
        <v>318</v>
      </c>
    </row>
    <row r="204" spans="1:2" x14ac:dyDescent="0.35">
      <c r="A204" s="175" t="s">
        <v>319</v>
      </c>
      <c r="B204" s="19" t="s">
        <v>320</v>
      </c>
    </row>
    <row r="205" spans="1:2" x14ac:dyDescent="0.35">
      <c r="A205" s="175" t="s">
        <v>321</v>
      </c>
      <c r="B205" s="19" t="s">
        <v>322</v>
      </c>
    </row>
    <row r="206" spans="1:2" x14ac:dyDescent="0.35">
      <c r="A206" s="175" t="s">
        <v>323</v>
      </c>
      <c r="B206" s="19" t="s">
        <v>324</v>
      </c>
    </row>
    <row r="207" spans="1:2" x14ac:dyDescent="0.35">
      <c r="A207" s="175" t="s">
        <v>325</v>
      </c>
      <c r="B207" s="19" t="s">
        <v>326</v>
      </c>
    </row>
    <row r="208" spans="1:2" x14ac:dyDescent="0.35">
      <c r="A208" s="175" t="s">
        <v>327</v>
      </c>
      <c r="B208" s="19" t="s">
        <v>328</v>
      </c>
    </row>
    <row r="209" spans="1:2" x14ac:dyDescent="0.35">
      <c r="A209" s="175" t="s">
        <v>329</v>
      </c>
      <c r="B209" s="19" t="s">
        <v>330</v>
      </c>
    </row>
    <row r="210" spans="1:2" x14ac:dyDescent="0.35">
      <c r="A210" s="175" t="s">
        <v>331</v>
      </c>
      <c r="B210" s="19" t="s">
        <v>332</v>
      </c>
    </row>
    <row r="211" spans="1:2" x14ac:dyDescent="0.35">
      <c r="A211" s="175" t="s">
        <v>333</v>
      </c>
      <c r="B211" s="19" t="s">
        <v>334</v>
      </c>
    </row>
    <row r="212" spans="1:2" x14ac:dyDescent="0.35">
      <c r="A212" s="175" t="s">
        <v>335</v>
      </c>
      <c r="B212" s="19" t="s">
        <v>336</v>
      </c>
    </row>
    <row r="213" spans="1:2" x14ac:dyDescent="0.35">
      <c r="A213" s="175" t="s">
        <v>337</v>
      </c>
      <c r="B213" s="19" t="s">
        <v>338</v>
      </c>
    </row>
    <row r="214" spans="1:2" x14ac:dyDescent="0.35">
      <c r="A214" s="175" t="s">
        <v>339</v>
      </c>
      <c r="B214" s="19" t="s">
        <v>340</v>
      </c>
    </row>
    <row r="215" spans="1:2" x14ac:dyDescent="0.35">
      <c r="A215" s="175" t="s">
        <v>341</v>
      </c>
      <c r="B215" s="19" t="s">
        <v>338</v>
      </c>
    </row>
    <row r="216" spans="1:2" x14ac:dyDescent="0.35">
      <c r="A216" s="175" t="s">
        <v>342</v>
      </c>
      <c r="B216" s="19" t="s">
        <v>343</v>
      </c>
    </row>
    <row r="217" spans="1:2" x14ac:dyDescent="0.35">
      <c r="A217" s="175" t="s">
        <v>344</v>
      </c>
      <c r="B217" s="19" t="s">
        <v>345</v>
      </c>
    </row>
    <row r="218" spans="1:2" x14ac:dyDescent="0.35">
      <c r="A218" s="175" t="s">
        <v>346</v>
      </c>
      <c r="B218" s="19" t="s">
        <v>345</v>
      </c>
    </row>
    <row r="219" spans="1:2" x14ac:dyDescent="0.35">
      <c r="A219" s="175" t="s">
        <v>347</v>
      </c>
      <c r="B219" s="19" t="s">
        <v>348</v>
      </c>
    </row>
    <row r="220" spans="1:2" x14ac:dyDescent="0.35">
      <c r="A220" s="175" t="s">
        <v>349</v>
      </c>
      <c r="B220" s="19" t="s">
        <v>350</v>
      </c>
    </row>
    <row r="221" spans="1:2" x14ac:dyDescent="0.35">
      <c r="A221" s="175"/>
    </row>
    <row r="222" spans="1:2" x14ac:dyDescent="0.35">
      <c r="A222" s="175"/>
    </row>
    <row r="223" spans="1:2" x14ac:dyDescent="0.35">
      <c r="A223" s="175"/>
    </row>
    <row r="224" spans="1:2" x14ac:dyDescent="0.35">
      <c r="A224" s="175"/>
    </row>
    <row r="225" spans="1:1" x14ac:dyDescent="0.35">
      <c r="A225" s="175"/>
    </row>
    <row r="226" spans="1:1" x14ac:dyDescent="0.35">
      <c r="A226" s="175"/>
    </row>
    <row r="227" spans="1:1" x14ac:dyDescent="0.35">
      <c r="A227" s="175"/>
    </row>
    <row r="228" spans="1:1" x14ac:dyDescent="0.35">
      <c r="A228" s="175"/>
    </row>
    <row r="229" spans="1:1" x14ac:dyDescent="0.35">
      <c r="A229" s="175"/>
    </row>
    <row r="230" spans="1:1" x14ac:dyDescent="0.35">
      <c r="A230" s="175"/>
    </row>
    <row r="231" spans="1:1" x14ac:dyDescent="0.35">
      <c r="A231" s="175"/>
    </row>
    <row r="232" spans="1:1" x14ac:dyDescent="0.35">
      <c r="A232" s="175"/>
    </row>
  </sheetData>
  <mergeCells count="2">
    <mergeCell ref="A3:H3"/>
    <mergeCell ref="E49:F49"/>
  </mergeCells>
  <conditionalFormatting sqref="D80 D82:D85 E80:H85 D74:H79">
    <cfRule type="cellIs" dxfId="11" priority="1" stopIfTrue="1" operator="equal">
      <formula>0</formula>
    </cfRule>
  </conditionalFormatting>
  <dataValidations disablePrompts="1" count="3">
    <dataValidation type="list" showInputMessage="1" showErrorMessage="1" sqref="A114:A120" xr:uid="{77A00941-A3B3-47C2-A391-E174D350C5DE}">
      <formula1>$A$153:$A$161</formula1>
    </dataValidation>
    <dataValidation type="list" showInputMessage="1" showErrorMessage="1" sqref="A113" xr:uid="{45C4EB93-1495-4661-A828-A9EA8E66F3C6}">
      <formula1>$A$153:$A$160</formula1>
    </dataValidation>
    <dataValidation type="list" showInputMessage="1" showErrorMessage="1" sqref="A121" xr:uid="{88837E72-F95C-4AA0-838F-D87D69E4FA61}">
      <formula1>$A$153:$A$156</formula1>
    </dataValidation>
  </dataValidations>
  <printOptions horizontalCentered="1"/>
  <pageMargins left="1" right="1" top="0.5" bottom="0.6" header="0.5" footer="0.5"/>
  <pageSetup scale="65" fitToHeight="2" orientation="portrait" horizontalDpi="4294967293" verticalDpi="4294967293" r:id="rId1"/>
  <headerFooter alignWithMargins="0"/>
  <rowBreaks count="1" manualBreakCount="1">
    <brk id="65" max="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A57FE-EA5F-4E7A-A45A-87E27FB402AB}">
  <dimension ref="A1:AA503"/>
  <sheetViews>
    <sheetView showGridLines="0" showZeros="0" topLeftCell="A22" zoomScaleNormal="100" zoomScaleSheetLayoutView="50" workbookViewId="0">
      <selection activeCell="AL21" sqref="AL21"/>
    </sheetView>
  </sheetViews>
  <sheetFormatPr defaultRowHeight="15.5" x14ac:dyDescent="0.35"/>
  <cols>
    <col min="1" max="1" width="2.26953125" style="526" customWidth="1"/>
    <col min="2" max="2" width="12" style="526" customWidth="1"/>
    <col min="3" max="3" width="31.81640625" style="526" customWidth="1"/>
    <col min="4" max="4" width="19" style="526" customWidth="1"/>
    <col min="5" max="5" width="5.7265625" style="526" customWidth="1"/>
    <col min="6" max="6" width="15.1796875" style="526" customWidth="1"/>
    <col min="7" max="7" width="1.26953125" style="526" customWidth="1"/>
    <col min="8" max="8" width="6.54296875" style="526" customWidth="1"/>
    <col min="9" max="9" width="3.1796875" style="526" customWidth="1"/>
    <col min="10" max="10" width="15.453125" style="526" customWidth="1"/>
    <col min="11" max="11" width="7.81640625" style="526" customWidth="1"/>
    <col min="12" max="19" width="0" style="526" hidden="1" customWidth="1"/>
    <col min="20" max="20" width="15.54296875" style="526" hidden="1" customWidth="1"/>
    <col min="21" max="21" width="0" style="526" hidden="1" customWidth="1"/>
    <col min="22" max="22" width="12.7265625" style="526" hidden="1" customWidth="1"/>
    <col min="23" max="24" width="0" style="526" hidden="1" customWidth="1"/>
    <col min="25" max="25" width="13.54296875" style="526" hidden="1" customWidth="1"/>
    <col min="26" max="37" width="0" style="526" hidden="1" customWidth="1"/>
    <col min="38" max="256" width="8.7265625" style="526"/>
    <col min="257" max="257" width="2.26953125" style="526" customWidth="1"/>
    <col min="258" max="258" width="12" style="526" customWidth="1"/>
    <col min="259" max="259" width="31.81640625" style="526" customWidth="1"/>
    <col min="260" max="260" width="19" style="526" customWidth="1"/>
    <col min="261" max="261" width="5.7265625" style="526" customWidth="1"/>
    <col min="262" max="262" width="11.54296875" style="526" customWidth="1"/>
    <col min="263" max="263" width="1.26953125" style="526" customWidth="1"/>
    <col min="264" max="264" width="6.54296875" style="526" customWidth="1"/>
    <col min="265" max="265" width="3.1796875" style="526" customWidth="1"/>
    <col min="266" max="266" width="21.7265625" style="526" customWidth="1"/>
    <col min="267" max="267" width="7.81640625" style="526" customWidth="1"/>
    <col min="268" max="293" width="0" style="526" hidden="1" customWidth="1"/>
    <col min="294" max="512" width="8.7265625" style="526"/>
    <col min="513" max="513" width="2.26953125" style="526" customWidth="1"/>
    <col min="514" max="514" width="12" style="526" customWidth="1"/>
    <col min="515" max="515" width="31.81640625" style="526" customWidth="1"/>
    <col min="516" max="516" width="19" style="526" customWidth="1"/>
    <col min="517" max="517" width="5.7265625" style="526" customWidth="1"/>
    <col min="518" max="518" width="11.54296875" style="526" customWidth="1"/>
    <col min="519" max="519" width="1.26953125" style="526" customWidth="1"/>
    <col min="520" max="520" width="6.54296875" style="526" customWidth="1"/>
    <col min="521" max="521" width="3.1796875" style="526" customWidth="1"/>
    <col min="522" max="522" width="21.7265625" style="526" customWidth="1"/>
    <col min="523" max="523" width="7.81640625" style="526" customWidth="1"/>
    <col min="524" max="549" width="0" style="526" hidden="1" customWidth="1"/>
    <col min="550" max="768" width="8.7265625" style="526"/>
    <col min="769" max="769" width="2.26953125" style="526" customWidth="1"/>
    <col min="770" max="770" width="12" style="526" customWidth="1"/>
    <col min="771" max="771" width="31.81640625" style="526" customWidth="1"/>
    <col min="772" max="772" width="19" style="526" customWidth="1"/>
    <col min="773" max="773" width="5.7265625" style="526" customWidth="1"/>
    <col min="774" max="774" width="11.54296875" style="526" customWidth="1"/>
    <col min="775" max="775" width="1.26953125" style="526" customWidth="1"/>
    <col min="776" max="776" width="6.54296875" style="526" customWidth="1"/>
    <col min="777" max="777" width="3.1796875" style="526" customWidth="1"/>
    <col min="778" max="778" width="21.7265625" style="526" customWidth="1"/>
    <col min="779" max="779" width="7.81640625" style="526" customWidth="1"/>
    <col min="780" max="805" width="0" style="526" hidden="1" customWidth="1"/>
    <col min="806" max="1024" width="8.7265625" style="526"/>
    <col min="1025" max="1025" width="2.26953125" style="526" customWidth="1"/>
    <col min="1026" max="1026" width="12" style="526" customWidth="1"/>
    <col min="1027" max="1027" width="31.81640625" style="526" customWidth="1"/>
    <col min="1028" max="1028" width="19" style="526" customWidth="1"/>
    <col min="1029" max="1029" width="5.7265625" style="526" customWidth="1"/>
    <col min="1030" max="1030" width="11.54296875" style="526" customWidth="1"/>
    <col min="1031" max="1031" width="1.26953125" style="526" customWidth="1"/>
    <col min="1032" max="1032" width="6.54296875" style="526" customWidth="1"/>
    <col min="1033" max="1033" width="3.1796875" style="526" customWidth="1"/>
    <col min="1034" max="1034" width="21.7265625" style="526" customWidth="1"/>
    <col min="1035" max="1035" width="7.81640625" style="526" customWidth="1"/>
    <col min="1036" max="1061" width="0" style="526" hidden="1" customWidth="1"/>
    <col min="1062" max="1280" width="8.7265625" style="526"/>
    <col min="1281" max="1281" width="2.26953125" style="526" customWidth="1"/>
    <col min="1282" max="1282" width="12" style="526" customWidth="1"/>
    <col min="1283" max="1283" width="31.81640625" style="526" customWidth="1"/>
    <col min="1284" max="1284" width="19" style="526" customWidth="1"/>
    <col min="1285" max="1285" width="5.7265625" style="526" customWidth="1"/>
    <col min="1286" max="1286" width="11.54296875" style="526" customWidth="1"/>
    <col min="1287" max="1287" width="1.26953125" style="526" customWidth="1"/>
    <col min="1288" max="1288" width="6.54296875" style="526" customWidth="1"/>
    <col min="1289" max="1289" width="3.1796875" style="526" customWidth="1"/>
    <col min="1290" max="1290" width="21.7265625" style="526" customWidth="1"/>
    <col min="1291" max="1291" width="7.81640625" style="526" customWidth="1"/>
    <col min="1292" max="1317" width="0" style="526" hidden="1" customWidth="1"/>
    <col min="1318" max="1536" width="8.7265625" style="526"/>
    <col min="1537" max="1537" width="2.26953125" style="526" customWidth="1"/>
    <col min="1538" max="1538" width="12" style="526" customWidth="1"/>
    <col min="1539" max="1539" width="31.81640625" style="526" customWidth="1"/>
    <col min="1540" max="1540" width="19" style="526" customWidth="1"/>
    <col min="1541" max="1541" width="5.7265625" style="526" customWidth="1"/>
    <col min="1542" max="1542" width="11.54296875" style="526" customWidth="1"/>
    <col min="1543" max="1543" width="1.26953125" style="526" customWidth="1"/>
    <col min="1544" max="1544" width="6.54296875" style="526" customWidth="1"/>
    <col min="1545" max="1545" width="3.1796875" style="526" customWidth="1"/>
    <col min="1546" max="1546" width="21.7265625" style="526" customWidth="1"/>
    <col min="1547" max="1547" width="7.81640625" style="526" customWidth="1"/>
    <col min="1548" max="1573" width="0" style="526" hidden="1" customWidth="1"/>
    <col min="1574" max="1792" width="8.7265625" style="526"/>
    <col min="1793" max="1793" width="2.26953125" style="526" customWidth="1"/>
    <col min="1794" max="1794" width="12" style="526" customWidth="1"/>
    <col min="1795" max="1795" width="31.81640625" style="526" customWidth="1"/>
    <col min="1796" max="1796" width="19" style="526" customWidth="1"/>
    <col min="1797" max="1797" width="5.7265625" style="526" customWidth="1"/>
    <col min="1798" max="1798" width="11.54296875" style="526" customWidth="1"/>
    <col min="1799" max="1799" width="1.26953125" style="526" customWidth="1"/>
    <col min="1800" max="1800" width="6.54296875" style="526" customWidth="1"/>
    <col min="1801" max="1801" width="3.1796875" style="526" customWidth="1"/>
    <col min="1802" max="1802" width="21.7265625" style="526" customWidth="1"/>
    <col min="1803" max="1803" width="7.81640625" style="526" customWidth="1"/>
    <col min="1804" max="1829" width="0" style="526" hidden="1" customWidth="1"/>
    <col min="1830" max="2048" width="8.7265625" style="526"/>
    <col min="2049" max="2049" width="2.26953125" style="526" customWidth="1"/>
    <col min="2050" max="2050" width="12" style="526" customWidth="1"/>
    <col min="2051" max="2051" width="31.81640625" style="526" customWidth="1"/>
    <col min="2052" max="2052" width="19" style="526" customWidth="1"/>
    <col min="2053" max="2053" width="5.7265625" style="526" customWidth="1"/>
    <col min="2054" max="2054" width="11.54296875" style="526" customWidth="1"/>
    <col min="2055" max="2055" width="1.26953125" style="526" customWidth="1"/>
    <col min="2056" max="2056" width="6.54296875" style="526" customWidth="1"/>
    <col min="2057" max="2057" width="3.1796875" style="526" customWidth="1"/>
    <col min="2058" max="2058" width="21.7265625" style="526" customWidth="1"/>
    <col min="2059" max="2059" width="7.81640625" style="526" customWidth="1"/>
    <col min="2060" max="2085" width="0" style="526" hidden="1" customWidth="1"/>
    <col min="2086" max="2304" width="8.7265625" style="526"/>
    <col min="2305" max="2305" width="2.26953125" style="526" customWidth="1"/>
    <col min="2306" max="2306" width="12" style="526" customWidth="1"/>
    <col min="2307" max="2307" width="31.81640625" style="526" customWidth="1"/>
    <col min="2308" max="2308" width="19" style="526" customWidth="1"/>
    <col min="2309" max="2309" width="5.7265625" style="526" customWidth="1"/>
    <col min="2310" max="2310" width="11.54296875" style="526" customWidth="1"/>
    <col min="2311" max="2311" width="1.26953125" style="526" customWidth="1"/>
    <col min="2312" max="2312" width="6.54296875" style="526" customWidth="1"/>
    <col min="2313" max="2313" width="3.1796875" style="526" customWidth="1"/>
    <col min="2314" max="2314" width="21.7265625" style="526" customWidth="1"/>
    <col min="2315" max="2315" width="7.81640625" style="526" customWidth="1"/>
    <col min="2316" max="2341" width="0" style="526" hidden="1" customWidth="1"/>
    <col min="2342" max="2560" width="8.7265625" style="526"/>
    <col min="2561" max="2561" width="2.26953125" style="526" customWidth="1"/>
    <col min="2562" max="2562" width="12" style="526" customWidth="1"/>
    <col min="2563" max="2563" width="31.81640625" style="526" customWidth="1"/>
    <col min="2564" max="2564" width="19" style="526" customWidth="1"/>
    <col min="2565" max="2565" width="5.7265625" style="526" customWidth="1"/>
    <col min="2566" max="2566" width="11.54296875" style="526" customWidth="1"/>
    <col min="2567" max="2567" width="1.26953125" style="526" customWidth="1"/>
    <col min="2568" max="2568" width="6.54296875" style="526" customWidth="1"/>
    <col min="2569" max="2569" width="3.1796875" style="526" customWidth="1"/>
    <col min="2570" max="2570" width="21.7265625" style="526" customWidth="1"/>
    <col min="2571" max="2571" width="7.81640625" style="526" customWidth="1"/>
    <col min="2572" max="2597" width="0" style="526" hidden="1" customWidth="1"/>
    <col min="2598" max="2816" width="8.7265625" style="526"/>
    <col min="2817" max="2817" width="2.26953125" style="526" customWidth="1"/>
    <col min="2818" max="2818" width="12" style="526" customWidth="1"/>
    <col min="2819" max="2819" width="31.81640625" style="526" customWidth="1"/>
    <col min="2820" max="2820" width="19" style="526" customWidth="1"/>
    <col min="2821" max="2821" width="5.7265625" style="526" customWidth="1"/>
    <col min="2822" max="2822" width="11.54296875" style="526" customWidth="1"/>
    <col min="2823" max="2823" width="1.26953125" style="526" customWidth="1"/>
    <col min="2824" max="2824" width="6.54296875" style="526" customWidth="1"/>
    <col min="2825" max="2825" width="3.1796875" style="526" customWidth="1"/>
    <col min="2826" max="2826" width="21.7265625" style="526" customWidth="1"/>
    <col min="2827" max="2827" width="7.81640625" style="526" customWidth="1"/>
    <col min="2828" max="2853" width="0" style="526" hidden="1" customWidth="1"/>
    <col min="2854" max="3072" width="8.7265625" style="526"/>
    <col min="3073" max="3073" width="2.26953125" style="526" customWidth="1"/>
    <col min="3074" max="3074" width="12" style="526" customWidth="1"/>
    <col min="3075" max="3075" width="31.81640625" style="526" customWidth="1"/>
    <col min="3076" max="3076" width="19" style="526" customWidth="1"/>
    <col min="3077" max="3077" width="5.7265625" style="526" customWidth="1"/>
    <col min="3078" max="3078" width="11.54296875" style="526" customWidth="1"/>
    <col min="3079" max="3079" width="1.26953125" style="526" customWidth="1"/>
    <col min="3080" max="3080" width="6.54296875" style="526" customWidth="1"/>
    <col min="3081" max="3081" width="3.1796875" style="526" customWidth="1"/>
    <col min="3082" max="3082" width="21.7265625" style="526" customWidth="1"/>
    <col min="3083" max="3083" width="7.81640625" style="526" customWidth="1"/>
    <col min="3084" max="3109" width="0" style="526" hidden="1" customWidth="1"/>
    <col min="3110" max="3328" width="8.7265625" style="526"/>
    <col min="3329" max="3329" width="2.26953125" style="526" customWidth="1"/>
    <col min="3330" max="3330" width="12" style="526" customWidth="1"/>
    <col min="3331" max="3331" width="31.81640625" style="526" customWidth="1"/>
    <col min="3332" max="3332" width="19" style="526" customWidth="1"/>
    <col min="3333" max="3333" width="5.7265625" style="526" customWidth="1"/>
    <col min="3334" max="3334" width="11.54296875" style="526" customWidth="1"/>
    <col min="3335" max="3335" width="1.26953125" style="526" customWidth="1"/>
    <col min="3336" max="3336" width="6.54296875" style="526" customWidth="1"/>
    <col min="3337" max="3337" width="3.1796875" style="526" customWidth="1"/>
    <col min="3338" max="3338" width="21.7265625" style="526" customWidth="1"/>
    <col min="3339" max="3339" width="7.81640625" style="526" customWidth="1"/>
    <col min="3340" max="3365" width="0" style="526" hidden="1" customWidth="1"/>
    <col min="3366" max="3584" width="8.7265625" style="526"/>
    <col min="3585" max="3585" width="2.26953125" style="526" customWidth="1"/>
    <col min="3586" max="3586" width="12" style="526" customWidth="1"/>
    <col min="3587" max="3587" width="31.81640625" style="526" customWidth="1"/>
    <col min="3588" max="3588" width="19" style="526" customWidth="1"/>
    <col min="3589" max="3589" width="5.7265625" style="526" customWidth="1"/>
    <col min="3590" max="3590" width="11.54296875" style="526" customWidth="1"/>
    <col min="3591" max="3591" width="1.26953125" style="526" customWidth="1"/>
    <col min="3592" max="3592" width="6.54296875" style="526" customWidth="1"/>
    <col min="3593" max="3593" width="3.1796875" style="526" customWidth="1"/>
    <col min="3594" max="3594" width="21.7265625" style="526" customWidth="1"/>
    <col min="3595" max="3595" width="7.81640625" style="526" customWidth="1"/>
    <col min="3596" max="3621" width="0" style="526" hidden="1" customWidth="1"/>
    <col min="3622" max="3840" width="8.7265625" style="526"/>
    <col min="3841" max="3841" width="2.26953125" style="526" customWidth="1"/>
    <col min="3842" max="3842" width="12" style="526" customWidth="1"/>
    <col min="3843" max="3843" width="31.81640625" style="526" customWidth="1"/>
    <col min="3844" max="3844" width="19" style="526" customWidth="1"/>
    <col min="3845" max="3845" width="5.7265625" style="526" customWidth="1"/>
    <col min="3846" max="3846" width="11.54296875" style="526" customWidth="1"/>
    <col min="3847" max="3847" width="1.26953125" style="526" customWidth="1"/>
    <col min="3848" max="3848" width="6.54296875" style="526" customWidth="1"/>
    <col min="3849" max="3849" width="3.1796875" style="526" customWidth="1"/>
    <col min="3850" max="3850" width="21.7265625" style="526" customWidth="1"/>
    <col min="3851" max="3851" width="7.81640625" style="526" customWidth="1"/>
    <col min="3852" max="3877" width="0" style="526" hidden="1" customWidth="1"/>
    <col min="3878" max="4096" width="8.7265625" style="526"/>
    <col min="4097" max="4097" width="2.26953125" style="526" customWidth="1"/>
    <col min="4098" max="4098" width="12" style="526" customWidth="1"/>
    <col min="4099" max="4099" width="31.81640625" style="526" customWidth="1"/>
    <col min="4100" max="4100" width="19" style="526" customWidth="1"/>
    <col min="4101" max="4101" width="5.7265625" style="526" customWidth="1"/>
    <col min="4102" max="4102" width="11.54296875" style="526" customWidth="1"/>
    <col min="4103" max="4103" width="1.26953125" style="526" customWidth="1"/>
    <col min="4104" max="4104" width="6.54296875" style="526" customWidth="1"/>
    <col min="4105" max="4105" width="3.1796875" style="526" customWidth="1"/>
    <col min="4106" max="4106" width="21.7265625" style="526" customWidth="1"/>
    <col min="4107" max="4107" width="7.81640625" style="526" customWidth="1"/>
    <col min="4108" max="4133" width="0" style="526" hidden="1" customWidth="1"/>
    <col min="4134" max="4352" width="8.7265625" style="526"/>
    <col min="4353" max="4353" width="2.26953125" style="526" customWidth="1"/>
    <col min="4354" max="4354" width="12" style="526" customWidth="1"/>
    <col min="4355" max="4355" width="31.81640625" style="526" customWidth="1"/>
    <col min="4356" max="4356" width="19" style="526" customWidth="1"/>
    <col min="4357" max="4357" width="5.7265625" style="526" customWidth="1"/>
    <col min="4358" max="4358" width="11.54296875" style="526" customWidth="1"/>
    <col min="4359" max="4359" width="1.26953125" style="526" customWidth="1"/>
    <col min="4360" max="4360" width="6.54296875" style="526" customWidth="1"/>
    <col min="4361" max="4361" width="3.1796875" style="526" customWidth="1"/>
    <col min="4362" max="4362" width="21.7265625" style="526" customWidth="1"/>
    <col min="4363" max="4363" width="7.81640625" style="526" customWidth="1"/>
    <col min="4364" max="4389" width="0" style="526" hidden="1" customWidth="1"/>
    <col min="4390" max="4608" width="8.7265625" style="526"/>
    <col min="4609" max="4609" width="2.26953125" style="526" customWidth="1"/>
    <col min="4610" max="4610" width="12" style="526" customWidth="1"/>
    <col min="4611" max="4611" width="31.81640625" style="526" customWidth="1"/>
    <col min="4612" max="4612" width="19" style="526" customWidth="1"/>
    <col min="4613" max="4613" width="5.7265625" style="526" customWidth="1"/>
    <col min="4614" max="4614" width="11.54296875" style="526" customWidth="1"/>
    <col min="4615" max="4615" width="1.26953125" style="526" customWidth="1"/>
    <col min="4616" max="4616" width="6.54296875" style="526" customWidth="1"/>
    <col min="4617" max="4617" width="3.1796875" style="526" customWidth="1"/>
    <col min="4618" max="4618" width="21.7265625" style="526" customWidth="1"/>
    <col min="4619" max="4619" width="7.81640625" style="526" customWidth="1"/>
    <col min="4620" max="4645" width="0" style="526" hidden="1" customWidth="1"/>
    <col min="4646" max="4864" width="8.7265625" style="526"/>
    <col min="4865" max="4865" width="2.26953125" style="526" customWidth="1"/>
    <col min="4866" max="4866" width="12" style="526" customWidth="1"/>
    <col min="4867" max="4867" width="31.81640625" style="526" customWidth="1"/>
    <col min="4868" max="4868" width="19" style="526" customWidth="1"/>
    <col min="4869" max="4869" width="5.7265625" style="526" customWidth="1"/>
    <col min="4870" max="4870" width="11.54296875" style="526" customWidth="1"/>
    <col min="4871" max="4871" width="1.26953125" style="526" customWidth="1"/>
    <col min="4872" max="4872" width="6.54296875" style="526" customWidth="1"/>
    <col min="4873" max="4873" width="3.1796875" style="526" customWidth="1"/>
    <col min="4874" max="4874" width="21.7265625" style="526" customWidth="1"/>
    <col min="4875" max="4875" width="7.81640625" style="526" customWidth="1"/>
    <col min="4876" max="4901" width="0" style="526" hidden="1" customWidth="1"/>
    <col min="4902" max="5120" width="8.7265625" style="526"/>
    <col min="5121" max="5121" width="2.26953125" style="526" customWidth="1"/>
    <col min="5122" max="5122" width="12" style="526" customWidth="1"/>
    <col min="5123" max="5123" width="31.81640625" style="526" customWidth="1"/>
    <col min="5124" max="5124" width="19" style="526" customWidth="1"/>
    <col min="5125" max="5125" width="5.7265625" style="526" customWidth="1"/>
    <col min="5126" max="5126" width="11.54296875" style="526" customWidth="1"/>
    <col min="5127" max="5127" width="1.26953125" style="526" customWidth="1"/>
    <col min="5128" max="5128" width="6.54296875" style="526" customWidth="1"/>
    <col min="5129" max="5129" width="3.1796875" style="526" customWidth="1"/>
    <col min="5130" max="5130" width="21.7265625" style="526" customWidth="1"/>
    <col min="5131" max="5131" width="7.81640625" style="526" customWidth="1"/>
    <col min="5132" max="5157" width="0" style="526" hidden="1" customWidth="1"/>
    <col min="5158" max="5376" width="8.7265625" style="526"/>
    <col min="5377" max="5377" width="2.26953125" style="526" customWidth="1"/>
    <col min="5378" max="5378" width="12" style="526" customWidth="1"/>
    <col min="5379" max="5379" width="31.81640625" style="526" customWidth="1"/>
    <col min="5380" max="5380" width="19" style="526" customWidth="1"/>
    <col min="5381" max="5381" width="5.7265625" style="526" customWidth="1"/>
    <col min="5382" max="5382" width="11.54296875" style="526" customWidth="1"/>
    <col min="5383" max="5383" width="1.26953125" style="526" customWidth="1"/>
    <col min="5384" max="5384" width="6.54296875" style="526" customWidth="1"/>
    <col min="5385" max="5385" width="3.1796875" style="526" customWidth="1"/>
    <col min="5386" max="5386" width="21.7265625" style="526" customWidth="1"/>
    <col min="5387" max="5387" width="7.81640625" style="526" customWidth="1"/>
    <col min="5388" max="5413" width="0" style="526" hidden="1" customWidth="1"/>
    <col min="5414" max="5632" width="8.7265625" style="526"/>
    <col min="5633" max="5633" width="2.26953125" style="526" customWidth="1"/>
    <col min="5634" max="5634" width="12" style="526" customWidth="1"/>
    <col min="5635" max="5635" width="31.81640625" style="526" customWidth="1"/>
    <col min="5636" max="5636" width="19" style="526" customWidth="1"/>
    <col min="5637" max="5637" width="5.7265625" style="526" customWidth="1"/>
    <col min="5638" max="5638" width="11.54296875" style="526" customWidth="1"/>
    <col min="5639" max="5639" width="1.26953125" style="526" customWidth="1"/>
    <col min="5640" max="5640" width="6.54296875" style="526" customWidth="1"/>
    <col min="5641" max="5641" width="3.1796875" style="526" customWidth="1"/>
    <col min="5642" max="5642" width="21.7265625" style="526" customWidth="1"/>
    <col min="5643" max="5643" width="7.81640625" style="526" customWidth="1"/>
    <col min="5644" max="5669" width="0" style="526" hidden="1" customWidth="1"/>
    <col min="5670" max="5888" width="8.7265625" style="526"/>
    <col min="5889" max="5889" width="2.26953125" style="526" customWidth="1"/>
    <col min="5890" max="5890" width="12" style="526" customWidth="1"/>
    <col min="5891" max="5891" width="31.81640625" style="526" customWidth="1"/>
    <col min="5892" max="5892" width="19" style="526" customWidth="1"/>
    <col min="5893" max="5893" width="5.7265625" style="526" customWidth="1"/>
    <col min="5894" max="5894" width="11.54296875" style="526" customWidth="1"/>
    <col min="5895" max="5895" width="1.26953125" style="526" customWidth="1"/>
    <col min="5896" max="5896" width="6.54296875" style="526" customWidth="1"/>
    <col min="5897" max="5897" width="3.1796875" style="526" customWidth="1"/>
    <col min="5898" max="5898" width="21.7265625" style="526" customWidth="1"/>
    <col min="5899" max="5899" width="7.81640625" style="526" customWidth="1"/>
    <col min="5900" max="5925" width="0" style="526" hidden="1" customWidth="1"/>
    <col min="5926" max="6144" width="8.7265625" style="526"/>
    <col min="6145" max="6145" width="2.26953125" style="526" customWidth="1"/>
    <col min="6146" max="6146" width="12" style="526" customWidth="1"/>
    <col min="6147" max="6147" width="31.81640625" style="526" customWidth="1"/>
    <col min="6148" max="6148" width="19" style="526" customWidth="1"/>
    <col min="6149" max="6149" width="5.7265625" style="526" customWidth="1"/>
    <col min="6150" max="6150" width="11.54296875" style="526" customWidth="1"/>
    <col min="6151" max="6151" width="1.26953125" style="526" customWidth="1"/>
    <col min="6152" max="6152" width="6.54296875" style="526" customWidth="1"/>
    <col min="6153" max="6153" width="3.1796875" style="526" customWidth="1"/>
    <col min="6154" max="6154" width="21.7265625" style="526" customWidth="1"/>
    <col min="6155" max="6155" width="7.81640625" style="526" customWidth="1"/>
    <col min="6156" max="6181" width="0" style="526" hidden="1" customWidth="1"/>
    <col min="6182" max="6400" width="8.7265625" style="526"/>
    <col min="6401" max="6401" width="2.26953125" style="526" customWidth="1"/>
    <col min="6402" max="6402" width="12" style="526" customWidth="1"/>
    <col min="6403" max="6403" width="31.81640625" style="526" customWidth="1"/>
    <col min="6404" max="6404" width="19" style="526" customWidth="1"/>
    <col min="6405" max="6405" width="5.7265625" style="526" customWidth="1"/>
    <col min="6406" max="6406" width="11.54296875" style="526" customWidth="1"/>
    <col min="6407" max="6407" width="1.26953125" style="526" customWidth="1"/>
    <col min="6408" max="6408" width="6.54296875" style="526" customWidth="1"/>
    <col min="6409" max="6409" width="3.1796875" style="526" customWidth="1"/>
    <col min="6410" max="6410" width="21.7265625" style="526" customWidth="1"/>
    <col min="6411" max="6411" width="7.81640625" style="526" customWidth="1"/>
    <col min="6412" max="6437" width="0" style="526" hidden="1" customWidth="1"/>
    <col min="6438" max="6656" width="8.7265625" style="526"/>
    <col min="6657" max="6657" width="2.26953125" style="526" customWidth="1"/>
    <col min="6658" max="6658" width="12" style="526" customWidth="1"/>
    <col min="6659" max="6659" width="31.81640625" style="526" customWidth="1"/>
    <col min="6660" max="6660" width="19" style="526" customWidth="1"/>
    <col min="6661" max="6661" width="5.7265625" style="526" customWidth="1"/>
    <col min="6662" max="6662" width="11.54296875" style="526" customWidth="1"/>
    <col min="6663" max="6663" width="1.26953125" style="526" customWidth="1"/>
    <col min="6664" max="6664" width="6.54296875" style="526" customWidth="1"/>
    <col min="6665" max="6665" width="3.1796875" style="526" customWidth="1"/>
    <col min="6666" max="6666" width="21.7265625" style="526" customWidth="1"/>
    <col min="6667" max="6667" width="7.81640625" style="526" customWidth="1"/>
    <col min="6668" max="6693" width="0" style="526" hidden="1" customWidth="1"/>
    <col min="6694" max="6912" width="8.7265625" style="526"/>
    <col min="6913" max="6913" width="2.26953125" style="526" customWidth="1"/>
    <col min="6914" max="6914" width="12" style="526" customWidth="1"/>
    <col min="6915" max="6915" width="31.81640625" style="526" customWidth="1"/>
    <col min="6916" max="6916" width="19" style="526" customWidth="1"/>
    <col min="6917" max="6917" width="5.7265625" style="526" customWidth="1"/>
    <col min="6918" max="6918" width="11.54296875" style="526" customWidth="1"/>
    <col min="6919" max="6919" width="1.26953125" style="526" customWidth="1"/>
    <col min="6920" max="6920" width="6.54296875" style="526" customWidth="1"/>
    <col min="6921" max="6921" width="3.1796875" style="526" customWidth="1"/>
    <col min="6922" max="6922" width="21.7265625" style="526" customWidth="1"/>
    <col min="6923" max="6923" width="7.81640625" style="526" customWidth="1"/>
    <col min="6924" max="6949" width="0" style="526" hidden="1" customWidth="1"/>
    <col min="6950" max="7168" width="8.7265625" style="526"/>
    <col min="7169" max="7169" width="2.26953125" style="526" customWidth="1"/>
    <col min="7170" max="7170" width="12" style="526" customWidth="1"/>
    <col min="7171" max="7171" width="31.81640625" style="526" customWidth="1"/>
    <col min="7172" max="7172" width="19" style="526" customWidth="1"/>
    <col min="7173" max="7173" width="5.7265625" style="526" customWidth="1"/>
    <col min="7174" max="7174" width="11.54296875" style="526" customWidth="1"/>
    <col min="7175" max="7175" width="1.26953125" style="526" customWidth="1"/>
    <col min="7176" max="7176" width="6.54296875" style="526" customWidth="1"/>
    <col min="7177" max="7177" width="3.1796875" style="526" customWidth="1"/>
    <col min="7178" max="7178" width="21.7265625" style="526" customWidth="1"/>
    <col min="7179" max="7179" width="7.81640625" style="526" customWidth="1"/>
    <col min="7180" max="7205" width="0" style="526" hidden="1" customWidth="1"/>
    <col min="7206" max="7424" width="8.7265625" style="526"/>
    <col min="7425" max="7425" width="2.26953125" style="526" customWidth="1"/>
    <col min="7426" max="7426" width="12" style="526" customWidth="1"/>
    <col min="7427" max="7427" width="31.81640625" style="526" customWidth="1"/>
    <col min="7428" max="7428" width="19" style="526" customWidth="1"/>
    <col min="7429" max="7429" width="5.7265625" style="526" customWidth="1"/>
    <col min="7430" max="7430" width="11.54296875" style="526" customWidth="1"/>
    <col min="7431" max="7431" width="1.26953125" style="526" customWidth="1"/>
    <col min="7432" max="7432" width="6.54296875" style="526" customWidth="1"/>
    <col min="7433" max="7433" width="3.1796875" style="526" customWidth="1"/>
    <col min="7434" max="7434" width="21.7265625" style="526" customWidth="1"/>
    <col min="7435" max="7435" width="7.81640625" style="526" customWidth="1"/>
    <col min="7436" max="7461" width="0" style="526" hidden="1" customWidth="1"/>
    <col min="7462" max="7680" width="8.7265625" style="526"/>
    <col min="7681" max="7681" width="2.26953125" style="526" customWidth="1"/>
    <col min="7682" max="7682" width="12" style="526" customWidth="1"/>
    <col min="7683" max="7683" width="31.81640625" style="526" customWidth="1"/>
    <col min="7684" max="7684" width="19" style="526" customWidth="1"/>
    <col min="7685" max="7685" width="5.7265625" style="526" customWidth="1"/>
    <col min="7686" max="7686" width="11.54296875" style="526" customWidth="1"/>
    <col min="7687" max="7687" width="1.26953125" style="526" customWidth="1"/>
    <col min="7688" max="7688" width="6.54296875" style="526" customWidth="1"/>
    <col min="7689" max="7689" width="3.1796875" style="526" customWidth="1"/>
    <col min="7690" max="7690" width="21.7265625" style="526" customWidth="1"/>
    <col min="7691" max="7691" width="7.81640625" style="526" customWidth="1"/>
    <col min="7692" max="7717" width="0" style="526" hidden="1" customWidth="1"/>
    <col min="7718" max="7936" width="8.7265625" style="526"/>
    <col min="7937" max="7937" width="2.26953125" style="526" customWidth="1"/>
    <col min="7938" max="7938" width="12" style="526" customWidth="1"/>
    <col min="7939" max="7939" width="31.81640625" style="526" customWidth="1"/>
    <col min="7940" max="7940" width="19" style="526" customWidth="1"/>
    <col min="7941" max="7941" width="5.7265625" style="526" customWidth="1"/>
    <col min="7942" max="7942" width="11.54296875" style="526" customWidth="1"/>
    <col min="7943" max="7943" width="1.26953125" style="526" customWidth="1"/>
    <col min="7944" max="7944" width="6.54296875" style="526" customWidth="1"/>
    <col min="7945" max="7945" width="3.1796875" style="526" customWidth="1"/>
    <col min="7946" max="7946" width="21.7265625" style="526" customWidth="1"/>
    <col min="7947" max="7947" width="7.81640625" style="526" customWidth="1"/>
    <col min="7948" max="7973" width="0" style="526" hidden="1" customWidth="1"/>
    <col min="7974" max="8192" width="8.7265625" style="526"/>
    <col min="8193" max="8193" width="2.26953125" style="526" customWidth="1"/>
    <col min="8194" max="8194" width="12" style="526" customWidth="1"/>
    <col min="8195" max="8195" width="31.81640625" style="526" customWidth="1"/>
    <col min="8196" max="8196" width="19" style="526" customWidth="1"/>
    <col min="8197" max="8197" width="5.7265625" style="526" customWidth="1"/>
    <col min="8198" max="8198" width="11.54296875" style="526" customWidth="1"/>
    <col min="8199" max="8199" width="1.26953125" style="526" customWidth="1"/>
    <col min="8200" max="8200" width="6.54296875" style="526" customWidth="1"/>
    <col min="8201" max="8201" width="3.1796875" style="526" customWidth="1"/>
    <col min="8202" max="8202" width="21.7265625" style="526" customWidth="1"/>
    <col min="8203" max="8203" width="7.81640625" style="526" customWidth="1"/>
    <col min="8204" max="8229" width="0" style="526" hidden="1" customWidth="1"/>
    <col min="8230" max="8448" width="8.7265625" style="526"/>
    <col min="8449" max="8449" width="2.26953125" style="526" customWidth="1"/>
    <col min="8450" max="8450" width="12" style="526" customWidth="1"/>
    <col min="8451" max="8451" width="31.81640625" style="526" customWidth="1"/>
    <col min="8452" max="8452" width="19" style="526" customWidth="1"/>
    <col min="8453" max="8453" width="5.7265625" style="526" customWidth="1"/>
    <col min="8454" max="8454" width="11.54296875" style="526" customWidth="1"/>
    <col min="8455" max="8455" width="1.26953125" style="526" customWidth="1"/>
    <col min="8456" max="8456" width="6.54296875" style="526" customWidth="1"/>
    <col min="8457" max="8457" width="3.1796875" style="526" customWidth="1"/>
    <col min="8458" max="8458" width="21.7265625" style="526" customWidth="1"/>
    <col min="8459" max="8459" width="7.81640625" style="526" customWidth="1"/>
    <col min="8460" max="8485" width="0" style="526" hidden="1" customWidth="1"/>
    <col min="8486" max="8704" width="8.7265625" style="526"/>
    <col min="8705" max="8705" width="2.26953125" style="526" customWidth="1"/>
    <col min="8706" max="8706" width="12" style="526" customWidth="1"/>
    <col min="8707" max="8707" width="31.81640625" style="526" customWidth="1"/>
    <col min="8708" max="8708" width="19" style="526" customWidth="1"/>
    <col min="8709" max="8709" width="5.7265625" style="526" customWidth="1"/>
    <col min="8710" max="8710" width="11.54296875" style="526" customWidth="1"/>
    <col min="8711" max="8711" width="1.26953125" style="526" customWidth="1"/>
    <col min="8712" max="8712" width="6.54296875" style="526" customWidth="1"/>
    <col min="8713" max="8713" width="3.1796875" style="526" customWidth="1"/>
    <col min="8714" max="8714" width="21.7265625" style="526" customWidth="1"/>
    <col min="8715" max="8715" width="7.81640625" style="526" customWidth="1"/>
    <col min="8716" max="8741" width="0" style="526" hidden="1" customWidth="1"/>
    <col min="8742" max="8960" width="8.7265625" style="526"/>
    <col min="8961" max="8961" width="2.26953125" style="526" customWidth="1"/>
    <col min="8962" max="8962" width="12" style="526" customWidth="1"/>
    <col min="8963" max="8963" width="31.81640625" style="526" customWidth="1"/>
    <col min="8964" max="8964" width="19" style="526" customWidth="1"/>
    <col min="8965" max="8965" width="5.7265625" style="526" customWidth="1"/>
    <col min="8966" max="8966" width="11.54296875" style="526" customWidth="1"/>
    <col min="8967" max="8967" width="1.26953125" style="526" customWidth="1"/>
    <col min="8968" max="8968" width="6.54296875" style="526" customWidth="1"/>
    <col min="8969" max="8969" width="3.1796875" style="526" customWidth="1"/>
    <col min="8970" max="8970" width="21.7265625" style="526" customWidth="1"/>
    <col min="8971" max="8971" width="7.81640625" style="526" customWidth="1"/>
    <col min="8972" max="8997" width="0" style="526" hidden="1" customWidth="1"/>
    <col min="8998" max="9216" width="8.7265625" style="526"/>
    <col min="9217" max="9217" width="2.26953125" style="526" customWidth="1"/>
    <col min="9218" max="9218" width="12" style="526" customWidth="1"/>
    <col min="9219" max="9219" width="31.81640625" style="526" customWidth="1"/>
    <col min="9220" max="9220" width="19" style="526" customWidth="1"/>
    <col min="9221" max="9221" width="5.7265625" style="526" customWidth="1"/>
    <col min="9222" max="9222" width="11.54296875" style="526" customWidth="1"/>
    <col min="9223" max="9223" width="1.26953125" style="526" customWidth="1"/>
    <col min="9224" max="9224" width="6.54296875" style="526" customWidth="1"/>
    <col min="9225" max="9225" width="3.1796875" style="526" customWidth="1"/>
    <col min="9226" max="9226" width="21.7265625" style="526" customWidth="1"/>
    <col min="9227" max="9227" width="7.81640625" style="526" customWidth="1"/>
    <col min="9228" max="9253" width="0" style="526" hidden="1" customWidth="1"/>
    <col min="9254" max="9472" width="8.7265625" style="526"/>
    <col min="9473" max="9473" width="2.26953125" style="526" customWidth="1"/>
    <col min="9474" max="9474" width="12" style="526" customWidth="1"/>
    <col min="9475" max="9475" width="31.81640625" style="526" customWidth="1"/>
    <col min="9476" max="9476" width="19" style="526" customWidth="1"/>
    <col min="9477" max="9477" width="5.7265625" style="526" customWidth="1"/>
    <col min="9478" max="9478" width="11.54296875" style="526" customWidth="1"/>
    <col min="9479" max="9479" width="1.26953125" style="526" customWidth="1"/>
    <col min="9480" max="9480" width="6.54296875" style="526" customWidth="1"/>
    <col min="9481" max="9481" width="3.1796875" style="526" customWidth="1"/>
    <col min="9482" max="9482" width="21.7265625" style="526" customWidth="1"/>
    <col min="9483" max="9483" width="7.81640625" style="526" customWidth="1"/>
    <col min="9484" max="9509" width="0" style="526" hidden="1" customWidth="1"/>
    <col min="9510" max="9728" width="8.7265625" style="526"/>
    <col min="9729" max="9729" width="2.26953125" style="526" customWidth="1"/>
    <col min="9730" max="9730" width="12" style="526" customWidth="1"/>
    <col min="9731" max="9731" width="31.81640625" style="526" customWidth="1"/>
    <col min="9732" max="9732" width="19" style="526" customWidth="1"/>
    <col min="9733" max="9733" width="5.7265625" style="526" customWidth="1"/>
    <col min="9734" max="9734" width="11.54296875" style="526" customWidth="1"/>
    <col min="9735" max="9735" width="1.26953125" style="526" customWidth="1"/>
    <col min="9736" max="9736" width="6.54296875" style="526" customWidth="1"/>
    <col min="9737" max="9737" width="3.1796875" style="526" customWidth="1"/>
    <col min="9738" max="9738" width="21.7265625" style="526" customWidth="1"/>
    <col min="9739" max="9739" width="7.81640625" style="526" customWidth="1"/>
    <col min="9740" max="9765" width="0" style="526" hidden="1" customWidth="1"/>
    <col min="9766" max="9984" width="8.7265625" style="526"/>
    <col min="9985" max="9985" width="2.26953125" style="526" customWidth="1"/>
    <col min="9986" max="9986" width="12" style="526" customWidth="1"/>
    <col min="9987" max="9987" width="31.81640625" style="526" customWidth="1"/>
    <col min="9988" max="9988" width="19" style="526" customWidth="1"/>
    <col min="9989" max="9989" width="5.7265625" style="526" customWidth="1"/>
    <col min="9990" max="9990" width="11.54296875" style="526" customWidth="1"/>
    <col min="9991" max="9991" width="1.26953125" style="526" customWidth="1"/>
    <col min="9992" max="9992" width="6.54296875" style="526" customWidth="1"/>
    <col min="9993" max="9993" width="3.1796875" style="526" customWidth="1"/>
    <col min="9994" max="9994" width="21.7265625" style="526" customWidth="1"/>
    <col min="9995" max="9995" width="7.81640625" style="526" customWidth="1"/>
    <col min="9996" max="10021" width="0" style="526" hidden="1" customWidth="1"/>
    <col min="10022" max="10240" width="8.7265625" style="526"/>
    <col min="10241" max="10241" width="2.26953125" style="526" customWidth="1"/>
    <col min="10242" max="10242" width="12" style="526" customWidth="1"/>
    <col min="10243" max="10243" width="31.81640625" style="526" customWidth="1"/>
    <col min="10244" max="10244" width="19" style="526" customWidth="1"/>
    <col min="10245" max="10245" width="5.7265625" style="526" customWidth="1"/>
    <col min="10246" max="10246" width="11.54296875" style="526" customWidth="1"/>
    <col min="10247" max="10247" width="1.26953125" style="526" customWidth="1"/>
    <col min="10248" max="10248" width="6.54296875" style="526" customWidth="1"/>
    <col min="10249" max="10249" width="3.1796875" style="526" customWidth="1"/>
    <col min="10250" max="10250" width="21.7265625" style="526" customWidth="1"/>
    <col min="10251" max="10251" width="7.81640625" style="526" customWidth="1"/>
    <col min="10252" max="10277" width="0" style="526" hidden="1" customWidth="1"/>
    <col min="10278" max="10496" width="8.7265625" style="526"/>
    <col min="10497" max="10497" width="2.26953125" style="526" customWidth="1"/>
    <col min="10498" max="10498" width="12" style="526" customWidth="1"/>
    <col min="10499" max="10499" width="31.81640625" style="526" customWidth="1"/>
    <col min="10500" max="10500" width="19" style="526" customWidth="1"/>
    <col min="10501" max="10501" width="5.7265625" style="526" customWidth="1"/>
    <col min="10502" max="10502" width="11.54296875" style="526" customWidth="1"/>
    <col min="10503" max="10503" width="1.26953125" style="526" customWidth="1"/>
    <col min="10504" max="10504" width="6.54296875" style="526" customWidth="1"/>
    <col min="10505" max="10505" width="3.1796875" style="526" customWidth="1"/>
    <col min="10506" max="10506" width="21.7265625" style="526" customWidth="1"/>
    <col min="10507" max="10507" width="7.81640625" style="526" customWidth="1"/>
    <col min="10508" max="10533" width="0" style="526" hidden="1" customWidth="1"/>
    <col min="10534" max="10752" width="8.7265625" style="526"/>
    <col min="10753" max="10753" width="2.26953125" style="526" customWidth="1"/>
    <col min="10754" max="10754" width="12" style="526" customWidth="1"/>
    <col min="10755" max="10755" width="31.81640625" style="526" customWidth="1"/>
    <col min="10756" max="10756" width="19" style="526" customWidth="1"/>
    <col min="10757" max="10757" width="5.7265625" style="526" customWidth="1"/>
    <col min="10758" max="10758" width="11.54296875" style="526" customWidth="1"/>
    <col min="10759" max="10759" width="1.26953125" style="526" customWidth="1"/>
    <col min="10760" max="10760" width="6.54296875" style="526" customWidth="1"/>
    <col min="10761" max="10761" width="3.1796875" style="526" customWidth="1"/>
    <col min="10762" max="10762" width="21.7265625" style="526" customWidth="1"/>
    <col min="10763" max="10763" width="7.81640625" style="526" customWidth="1"/>
    <col min="10764" max="10789" width="0" style="526" hidden="1" customWidth="1"/>
    <col min="10790" max="11008" width="8.7265625" style="526"/>
    <col min="11009" max="11009" width="2.26953125" style="526" customWidth="1"/>
    <col min="11010" max="11010" width="12" style="526" customWidth="1"/>
    <col min="11011" max="11011" width="31.81640625" style="526" customWidth="1"/>
    <col min="11012" max="11012" width="19" style="526" customWidth="1"/>
    <col min="11013" max="11013" width="5.7265625" style="526" customWidth="1"/>
    <col min="11014" max="11014" width="11.54296875" style="526" customWidth="1"/>
    <col min="11015" max="11015" width="1.26953125" style="526" customWidth="1"/>
    <col min="11016" max="11016" width="6.54296875" style="526" customWidth="1"/>
    <col min="11017" max="11017" width="3.1796875" style="526" customWidth="1"/>
    <col min="11018" max="11018" width="21.7265625" style="526" customWidth="1"/>
    <col min="11019" max="11019" width="7.81640625" style="526" customWidth="1"/>
    <col min="11020" max="11045" width="0" style="526" hidden="1" customWidth="1"/>
    <col min="11046" max="11264" width="8.7265625" style="526"/>
    <col min="11265" max="11265" width="2.26953125" style="526" customWidth="1"/>
    <col min="11266" max="11266" width="12" style="526" customWidth="1"/>
    <col min="11267" max="11267" width="31.81640625" style="526" customWidth="1"/>
    <col min="11268" max="11268" width="19" style="526" customWidth="1"/>
    <col min="11269" max="11269" width="5.7265625" style="526" customWidth="1"/>
    <col min="11270" max="11270" width="11.54296875" style="526" customWidth="1"/>
    <col min="11271" max="11271" width="1.26953125" style="526" customWidth="1"/>
    <col min="11272" max="11272" width="6.54296875" style="526" customWidth="1"/>
    <col min="11273" max="11273" width="3.1796875" style="526" customWidth="1"/>
    <col min="11274" max="11274" width="21.7265625" style="526" customWidth="1"/>
    <col min="11275" max="11275" width="7.81640625" style="526" customWidth="1"/>
    <col min="11276" max="11301" width="0" style="526" hidden="1" customWidth="1"/>
    <col min="11302" max="11520" width="8.7265625" style="526"/>
    <col min="11521" max="11521" width="2.26953125" style="526" customWidth="1"/>
    <col min="11522" max="11522" width="12" style="526" customWidth="1"/>
    <col min="11523" max="11523" width="31.81640625" style="526" customWidth="1"/>
    <col min="11524" max="11524" width="19" style="526" customWidth="1"/>
    <col min="11525" max="11525" width="5.7265625" style="526" customWidth="1"/>
    <col min="11526" max="11526" width="11.54296875" style="526" customWidth="1"/>
    <col min="11527" max="11527" width="1.26953125" style="526" customWidth="1"/>
    <col min="11528" max="11528" width="6.54296875" style="526" customWidth="1"/>
    <col min="11529" max="11529" width="3.1796875" style="526" customWidth="1"/>
    <col min="11530" max="11530" width="21.7265625" style="526" customWidth="1"/>
    <col min="11531" max="11531" width="7.81640625" style="526" customWidth="1"/>
    <col min="11532" max="11557" width="0" style="526" hidden="1" customWidth="1"/>
    <col min="11558" max="11776" width="8.7265625" style="526"/>
    <col min="11777" max="11777" width="2.26953125" style="526" customWidth="1"/>
    <col min="11778" max="11778" width="12" style="526" customWidth="1"/>
    <col min="11779" max="11779" width="31.81640625" style="526" customWidth="1"/>
    <col min="11780" max="11780" width="19" style="526" customWidth="1"/>
    <col min="11781" max="11781" width="5.7265625" style="526" customWidth="1"/>
    <col min="11782" max="11782" width="11.54296875" style="526" customWidth="1"/>
    <col min="11783" max="11783" width="1.26953125" style="526" customWidth="1"/>
    <col min="11784" max="11784" width="6.54296875" style="526" customWidth="1"/>
    <col min="11785" max="11785" width="3.1796875" style="526" customWidth="1"/>
    <col min="11786" max="11786" width="21.7265625" style="526" customWidth="1"/>
    <col min="11787" max="11787" width="7.81640625" style="526" customWidth="1"/>
    <col min="11788" max="11813" width="0" style="526" hidden="1" customWidth="1"/>
    <col min="11814" max="12032" width="8.7265625" style="526"/>
    <col min="12033" max="12033" width="2.26953125" style="526" customWidth="1"/>
    <col min="12034" max="12034" width="12" style="526" customWidth="1"/>
    <col min="12035" max="12035" width="31.81640625" style="526" customWidth="1"/>
    <col min="12036" max="12036" width="19" style="526" customWidth="1"/>
    <col min="12037" max="12037" width="5.7265625" style="526" customWidth="1"/>
    <col min="12038" max="12038" width="11.54296875" style="526" customWidth="1"/>
    <col min="12039" max="12039" width="1.26953125" style="526" customWidth="1"/>
    <col min="12040" max="12040" width="6.54296875" style="526" customWidth="1"/>
    <col min="12041" max="12041" width="3.1796875" style="526" customWidth="1"/>
    <col min="12042" max="12042" width="21.7265625" style="526" customWidth="1"/>
    <col min="12043" max="12043" width="7.81640625" style="526" customWidth="1"/>
    <col min="12044" max="12069" width="0" style="526" hidden="1" customWidth="1"/>
    <col min="12070" max="12288" width="8.7265625" style="526"/>
    <col min="12289" max="12289" width="2.26953125" style="526" customWidth="1"/>
    <col min="12290" max="12290" width="12" style="526" customWidth="1"/>
    <col min="12291" max="12291" width="31.81640625" style="526" customWidth="1"/>
    <col min="12292" max="12292" width="19" style="526" customWidth="1"/>
    <col min="12293" max="12293" width="5.7265625" style="526" customWidth="1"/>
    <col min="12294" max="12294" width="11.54296875" style="526" customWidth="1"/>
    <col min="12295" max="12295" width="1.26953125" style="526" customWidth="1"/>
    <col min="12296" max="12296" width="6.54296875" style="526" customWidth="1"/>
    <col min="12297" max="12297" width="3.1796875" style="526" customWidth="1"/>
    <col min="12298" max="12298" width="21.7265625" style="526" customWidth="1"/>
    <col min="12299" max="12299" width="7.81640625" style="526" customWidth="1"/>
    <col min="12300" max="12325" width="0" style="526" hidden="1" customWidth="1"/>
    <col min="12326" max="12544" width="8.7265625" style="526"/>
    <col min="12545" max="12545" width="2.26953125" style="526" customWidth="1"/>
    <col min="12546" max="12546" width="12" style="526" customWidth="1"/>
    <col min="12547" max="12547" width="31.81640625" style="526" customWidth="1"/>
    <col min="12548" max="12548" width="19" style="526" customWidth="1"/>
    <col min="12549" max="12549" width="5.7265625" style="526" customWidth="1"/>
    <col min="12550" max="12550" width="11.54296875" style="526" customWidth="1"/>
    <col min="12551" max="12551" width="1.26953125" style="526" customWidth="1"/>
    <col min="12552" max="12552" width="6.54296875" style="526" customWidth="1"/>
    <col min="12553" max="12553" width="3.1796875" style="526" customWidth="1"/>
    <col min="12554" max="12554" width="21.7265625" style="526" customWidth="1"/>
    <col min="12555" max="12555" width="7.81640625" style="526" customWidth="1"/>
    <col min="12556" max="12581" width="0" style="526" hidden="1" customWidth="1"/>
    <col min="12582" max="12800" width="8.7265625" style="526"/>
    <col min="12801" max="12801" width="2.26953125" style="526" customWidth="1"/>
    <col min="12802" max="12802" width="12" style="526" customWidth="1"/>
    <col min="12803" max="12803" width="31.81640625" style="526" customWidth="1"/>
    <col min="12804" max="12804" width="19" style="526" customWidth="1"/>
    <col min="12805" max="12805" width="5.7265625" style="526" customWidth="1"/>
    <col min="12806" max="12806" width="11.54296875" style="526" customWidth="1"/>
    <col min="12807" max="12807" width="1.26953125" style="526" customWidth="1"/>
    <col min="12808" max="12808" width="6.54296875" style="526" customWidth="1"/>
    <col min="12809" max="12809" width="3.1796875" style="526" customWidth="1"/>
    <col min="12810" max="12810" width="21.7265625" style="526" customWidth="1"/>
    <col min="12811" max="12811" width="7.81640625" style="526" customWidth="1"/>
    <col min="12812" max="12837" width="0" style="526" hidden="1" customWidth="1"/>
    <col min="12838" max="13056" width="8.7265625" style="526"/>
    <col min="13057" max="13057" width="2.26953125" style="526" customWidth="1"/>
    <col min="13058" max="13058" width="12" style="526" customWidth="1"/>
    <col min="13059" max="13059" width="31.81640625" style="526" customWidth="1"/>
    <col min="13060" max="13060" width="19" style="526" customWidth="1"/>
    <col min="13061" max="13061" width="5.7265625" style="526" customWidth="1"/>
    <col min="13062" max="13062" width="11.54296875" style="526" customWidth="1"/>
    <col min="13063" max="13063" width="1.26953125" style="526" customWidth="1"/>
    <col min="13064" max="13064" width="6.54296875" style="526" customWidth="1"/>
    <col min="13065" max="13065" width="3.1796875" style="526" customWidth="1"/>
    <col min="13066" max="13066" width="21.7265625" style="526" customWidth="1"/>
    <col min="13067" max="13067" width="7.81640625" style="526" customWidth="1"/>
    <col min="13068" max="13093" width="0" style="526" hidden="1" customWidth="1"/>
    <col min="13094" max="13312" width="8.7265625" style="526"/>
    <col min="13313" max="13313" width="2.26953125" style="526" customWidth="1"/>
    <col min="13314" max="13314" width="12" style="526" customWidth="1"/>
    <col min="13315" max="13315" width="31.81640625" style="526" customWidth="1"/>
    <col min="13316" max="13316" width="19" style="526" customWidth="1"/>
    <col min="13317" max="13317" width="5.7265625" style="526" customWidth="1"/>
    <col min="13318" max="13318" width="11.54296875" style="526" customWidth="1"/>
    <col min="13319" max="13319" width="1.26953125" style="526" customWidth="1"/>
    <col min="13320" max="13320" width="6.54296875" style="526" customWidth="1"/>
    <col min="13321" max="13321" width="3.1796875" style="526" customWidth="1"/>
    <col min="13322" max="13322" width="21.7265625" style="526" customWidth="1"/>
    <col min="13323" max="13323" width="7.81640625" style="526" customWidth="1"/>
    <col min="13324" max="13349" width="0" style="526" hidden="1" customWidth="1"/>
    <col min="13350" max="13568" width="8.7265625" style="526"/>
    <col min="13569" max="13569" width="2.26953125" style="526" customWidth="1"/>
    <col min="13570" max="13570" width="12" style="526" customWidth="1"/>
    <col min="13571" max="13571" width="31.81640625" style="526" customWidth="1"/>
    <col min="13572" max="13572" width="19" style="526" customWidth="1"/>
    <col min="13573" max="13573" width="5.7265625" style="526" customWidth="1"/>
    <col min="13574" max="13574" width="11.54296875" style="526" customWidth="1"/>
    <col min="13575" max="13575" width="1.26953125" style="526" customWidth="1"/>
    <col min="13576" max="13576" width="6.54296875" style="526" customWidth="1"/>
    <col min="13577" max="13577" width="3.1796875" style="526" customWidth="1"/>
    <col min="13578" max="13578" width="21.7265625" style="526" customWidth="1"/>
    <col min="13579" max="13579" width="7.81640625" style="526" customWidth="1"/>
    <col min="13580" max="13605" width="0" style="526" hidden="1" customWidth="1"/>
    <col min="13606" max="13824" width="8.7265625" style="526"/>
    <col min="13825" max="13825" width="2.26953125" style="526" customWidth="1"/>
    <col min="13826" max="13826" width="12" style="526" customWidth="1"/>
    <col min="13827" max="13827" width="31.81640625" style="526" customWidth="1"/>
    <col min="13828" max="13828" width="19" style="526" customWidth="1"/>
    <col min="13829" max="13829" width="5.7265625" style="526" customWidth="1"/>
    <col min="13830" max="13830" width="11.54296875" style="526" customWidth="1"/>
    <col min="13831" max="13831" width="1.26953125" style="526" customWidth="1"/>
    <col min="13832" max="13832" width="6.54296875" style="526" customWidth="1"/>
    <col min="13833" max="13833" width="3.1796875" style="526" customWidth="1"/>
    <col min="13834" max="13834" width="21.7265625" style="526" customWidth="1"/>
    <col min="13835" max="13835" width="7.81640625" style="526" customWidth="1"/>
    <col min="13836" max="13861" width="0" style="526" hidden="1" customWidth="1"/>
    <col min="13862" max="14080" width="8.7265625" style="526"/>
    <col min="14081" max="14081" width="2.26953125" style="526" customWidth="1"/>
    <col min="14082" max="14082" width="12" style="526" customWidth="1"/>
    <col min="14083" max="14083" width="31.81640625" style="526" customWidth="1"/>
    <col min="14084" max="14084" width="19" style="526" customWidth="1"/>
    <col min="14085" max="14085" width="5.7265625" style="526" customWidth="1"/>
    <col min="14086" max="14086" width="11.54296875" style="526" customWidth="1"/>
    <col min="14087" max="14087" width="1.26953125" style="526" customWidth="1"/>
    <col min="14088" max="14088" width="6.54296875" style="526" customWidth="1"/>
    <col min="14089" max="14089" width="3.1796875" style="526" customWidth="1"/>
    <col min="14090" max="14090" width="21.7265625" style="526" customWidth="1"/>
    <col min="14091" max="14091" width="7.81640625" style="526" customWidth="1"/>
    <col min="14092" max="14117" width="0" style="526" hidden="1" customWidth="1"/>
    <col min="14118" max="14336" width="8.7265625" style="526"/>
    <col min="14337" max="14337" width="2.26953125" style="526" customWidth="1"/>
    <col min="14338" max="14338" width="12" style="526" customWidth="1"/>
    <col min="14339" max="14339" width="31.81640625" style="526" customWidth="1"/>
    <col min="14340" max="14340" width="19" style="526" customWidth="1"/>
    <col min="14341" max="14341" width="5.7265625" style="526" customWidth="1"/>
    <col min="14342" max="14342" width="11.54296875" style="526" customWidth="1"/>
    <col min="14343" max="14343" width="1.26953125" style="526" customWidth="1"/>
    <col min="14344" max="14344" width="6.54296875" style="526" customWidth="1"/>
    <col min="14345" max="14345" width="3.1796875" style="526" customWidth="1"/>
    <col min="14346" max="14346" width="21.7265625" style="526" customWidth="1"/>
    <col min="14347" max="14347" width="7.81640625" style="526" customWidth="1"/>
    <col min="14348" max="14373" width="0" style="526" hidden="1" customWidth="1"/>
    <col min="14374" max="14592" width="8.7265625" style="526"/>
    <col min="14593" max="14593" width="2.26953125" style="526" customWidth="1"/>
    <col min="14594" max="14594" width="12" style="526" customWidth="1"/>
    <col min="14595" max="14595" width="31.81640625" style="526" customWidth="1"/>
    <col min="14596" max="14596" width="19" style="526" customWidth="1"/>
    <col min="14597" max="14597" width="5.7265625" style="526" customWidth="1"/>
    <col min="14598" max="14598" width="11.54296875" style="526" customWidth="1"/>
    <col min="14599" max="14599" width="1.26953125" style="526" customWidth="1"/>
    <col min="14600" max="14600" width="6.54296875" style="526" customWidth="1"/>
    <col min="14601" max="14601" width="3.1796875" style="526" customWidth="1"/>
    <col min="14602" max="14602" width="21.7265625" style="526" customWidth="1"/>
    <col min="14603" max="14603" width="7.81640625" style="526" customWidth="1"/>
    <col min="14604" max="14629" width="0" style="526" hidden="1" customWidth="1"/>
    <col min="14630" max="14848" width="8.7265625" style="526"/>
    <col min="14849" max="14849" width="2.26953125" style="526" customWidth="1"/>
    <col min="14850" max="14850" width="12" style="526" customWidth="1"/>
    <col min="14851" max="14851" width="31.81640625" style="526" customWidth="1"/>
    <col min="14852" max="14852" width="19" style="526" customWidth="1"/>
    <col min="14853" max="14853" width="5.7265625" style="526" customWidth="1"/>
    <col min="14854" max="14854" width="11.54296875" style="526" customWidth="1"/>
    <col min="14855" max="14855" width="1.26953125" style="526" customWidth="1"/>
    <col min="14856" max="14856" width="6.54296875" style="526" customWidth="1"/>
    <col min="14857" max="14857" width="3.1796875" style="526" customWidth="1"/>
    <col min="14858" max="14858" width="21.7265625" style="526" customWidth="1"/>
    <col min="14859" max="14859" width="7.81640625" style="526" customWidth="1"/>
    <col min="14860" max="14885" width="0" style="526" hidden="1" customWidth="1"/>
    <col min="14886" max="15104" width="8.7265625" style="526"/>
    <col min="15105" max="15105" width="2.26953125" style="526" customWidth="1"/>
    <col min="15106" max="15106" width="12" style="526" customWidth="1"/>
    <col min="15107" max="15107" width="31.81640625" style="526" customWidth="1"/>
    <col min="15108" max="15108" width="19" style="526" customWidth="1"/>
    <col min="15109" max="15109" width="5.7265625" style="526" customWidth="1"/>
    <col min="15110" max="15110" width="11.54296875" style="526" customWidth="1"/>
    <col min="15111" max="15111" width="1.26953125" style="526" customWidth="1"/>
    <col min="15112" max="15112" width="6.54296875" style="526" customWidth="1"/>
    <col min="15113" max="15113" width="3.1796875" style="526" customWidth="1"/>
    <col min="15114" max="15114" width="21.7265625" style="526" customWidth="1"/>
    <col min="15115" max="15115" width="7.81640625" style="526" customWidth="1"/>
    <col min="15116" max="15141" width="0" style="526" hidden="1" customWidth="1"/>
    <col min="15142" max="15360" width="8.7265625" style="526"/>
    <col min="15361" max="15361" width="2.26953125" style="526" customWidth="1"/>
    <col min="15362" max="15362" width="12" style="526" customWidth="1"/>
    <col min="15363" max="15363" width="31.81640625" style="526" customWidth="1"/>
    <col min="15364" max="15364" width="19" style="526" customWidth="1"/>
    <col min="15365" max="15365" width="5.7265625" style="526" customWidth="1"/>
    <col min="15366" max="15366" width="11.54296875" style="526" customWidth="1"/>
    <col min="15367" max="15367" width="1.26953125" style="526" customWidth="1"/>
    <col min="15368" max="15368" width="6.54296875" style="526" customWidth="1"/>
    <col min="15369" max="15369" width="3.1796875" style="526" customWidth="1"/>
    <col min="15370" max="15370" width="21.7265625" style="526" customWidth="1"/>
    <col min="15371" max="15371" width="7.81640625" style="526" customWidth="1"/>
    <col min="15372" max="15397" width="0" style="526" hidden="1" customWidth="1"/>
    <col min="15398" max="15616" width="8.7265625" style="526"/>
    <col min="15617" max="15617" width="2.26953125" style="526" customWidth="1"/>
    <col min="15618" max="15618" width="12" style="526" customWidth="1"/>
    <col min="15619" max="15619" width="31.81640625" style="526" customWidth="1"/>
    <col min="15620" max="15620" width="19" style="526" customWidth="1"/>
    <col min="15621" max="15621" width="5.7265625" style="526" customWidth="1"/>
    <col min="15622" max="15622" width="11.54296875" style="526" customWidth="1"/>
    <col min="15623" max="15623" width="1.26953125" style="526" customWidth="1"/>
    <col min="15624" max="15624" width="6.54296875" style="526" customWidth="1"/>
    <col min="15625" max="15625" width="3.1796875" style="526" customWidth="1"/>
    <col min="15626" max="15626" width="21.7265625" style="526" customWidth="1"/>
    <col min="15627" max="15627" width="7.81640625" style="526" customWidth="1"/>
    <col min="15628" max="15653" width="0" style="526" hidden="1" customWidth="1"/>
    <col min="15654" max="15872" width="8.7265625" style="526"/>
    <col min="15873" max="15873" width="2.26953125" style="526" customWidth="1"/>
    <col min="15874" max="15874" width="12" style="526" customWidth="1"/>
    <col min="15875" max="15875" width="31.81640625" style="526" customWidth="1"/>
    <col min="15876" max="15876" width="19" style="526" customWidth="1"/>
    <col min="15877" max="15877" width="5.7265625" style="526" customWidth="1"/>
    <col min="15878" max="15878" width="11.54296875" style="526" customWidth="1"/>
    <col min="15879" max="15879" width="1.26953125" style="526" customWidth="1"/>
    <col min="15880" max="15880" width="6.54296875" style="526" customWidth="1"/>
    <col min="15881" max="15881" width="3.1796875" style="526" customWidth="1"/>
    <col min="15882" max="15882" width="21.7265625" style="526" customWidth="1"/>
    <col min="15883" max="15883" width="7.81640625" style="526" customWidth="1"/>
    <col min="15884" max="15909" width="0" style="526" hidden="1" customWidth="1"/>
    <col min="15910" max="16128" width="8.7265625" style="526"/>
    <col min="16129" max="16129" width="2.26953125" style="526" customWidth="1"/>
    <col min="16130" max="16130" width="12" style="526" customWidth="1"/>
    <col min="16131" max="16131" width="31.81640625" style="526" customWidth="1"/>
    <col min="16132" max="16132" width="19" style="526" customWidth="1"/>
    <col min="16133" max="16133" width="5.7265625" style="526" customWidth="1"/>
    <col min="16134" max="16134" width="11.54296875" style="526" customWidth="1"/>
    <col min="16135" max="16135" width="1.26953125" style="526" customWidth="1"/>
    <col min="16136" max="16136" width="6.54296875" style="526" customWidth="1"/>
    <col min="16137" max="16137" width="3.1796875" style="526" customWidth="1"/>
    <col min="16138" max="16138" width="21.7265625" style="526" customWidth="1"/>
    <col min="16139" max="16139" width="7.81640625" style="526" customWidth="1"/>
    <col min="16140" max="16165" width="0" style="526" hidden="1" customWidth="1"/>
    <col min="16166" max="16384" width="8.7265625" style="526"/>
  </cols>
  <sheetData>
    <row r="1" spans="1:23" ht="26.25" customHeight="1" x14ac:dyDescent="0.35">
      <c r="A1" s="636" t="s">
        <v>726</v>
      </c>
      <c r="B1" s="636"/>
      <c r="C1" s="636"/>
      <c r="D1" s="636"/>
      <c r="E1" s="636"/>
      <c r="F1" s="636"/>
      <c r="G1" s="636"/>
      <c r="H1" s="636"/>
      <c r="I1" s="636"/>
      <c r="J1" s="636"/>
      <c r="K1" s="525"/>
    </row>
    <row r="2" spans="1:23" ht="26.25" customHeight="1" x14ac:dyDescent="0.35">
      <c r="A2" s="524"/>
      <c r="B2" s="524"/>
      <c r="C2" s="670" t="s">
        <v>727</v>
      </c>
      <c r="D2" s="670"/>
      <c r="E2" s="671"/>
      <c r="F2" s="671"/>
      <c r="G2" s="524"/>
      <c r="H2" s="524"/>
      <c r="I2" s="524"/>
      <c r="J2" s="524"/>
      <c r="K2" s="525"/>
    </row>
    <row r="3" spans="1:23" ht="16.5" customHeight="1" thickBot="1" x14ac:dyDescent="0.4">
      <c r="A3" s="527"/>
      <c r="B3" s="528"/>
      <c r="C3" s="528"/>
      <c r="D3" s="529" t="s">
        <v>523</v>
      </c>
      <c r="E3" s="529"/>
      <c r="F3" s="637" t="s">
        <v>524</v>
      </c>
      <c r="G3" s="637"/>
      <c r="H3" s="637"/>
      <c r="I3" s="637"/>
      <c r="J3" s="530"/>
      <c r="K3" s="531"/>
      <c r="L3" s="531"/>
    </row>
    <row r="4" spans="1:23" ht="16.5" customHeight="1" x14ac:dyDescent="0.35">
      <c r="A4" s="532" t="s">
        <v>525</v>
      </c>
      <c r="B4" s="533"/>
      <c r="C4" s="533"/>
      <c r="D4" s="533"/>
      <c r="E4" s="533"/>
      <c r="F4" s="534"/>
      <c r="G4" s="534"/>
      <c r="H4" s="534"/>
      <c r="I4" s="534"/>
      <c r="J4" s="534"/>
      <c r="K4" s="531"/>
      <c r="L4" s="531"/>
    </row>
    <row r="5" spans="1:23" ht="16.5" customHeight="1" x14ac:dyDescent="0.35">
      <c r="A5" s="532"/>
      <c r="B5" s="533" t="s">
        <v>526</v>
      </c>
      <c r="C5" s="533"/>
      <c r="D5" s="600">
        <v>5000</v>
      </c>
      <c r="E5" s="533"/>
      <c r="F5" s="534"/>
      <c r="G5" s="534"/>
      <c r="H5" s="534"/>
      <c r="I5" s="534"/>
      <c r="J5" s="534"/>
      <c r="K5" s="531"/>
      <c r="L5" s="531"/>
    </row>
    <row r="6" spans="1:23" ht="16.5" customHeight="1" x14ac:dyDescent="0.35">
      <c r="B6" s="533" t="s">
        <v>527</v>
      </c>
      <c r="C6" s="533"/>
      <c r="D6" s="535">
        <v>2000</v>
      </c>
      <c r="E6" s="536"/>
      <c r="F6" s="537"/>
      <c r="G6" s="538"/>
      <c r="H6" s="538"/>
      <c r="I6" s="538"/>
      <c r="J6" s="538"/>
      <c r="K6" s="531"/>
      <c r="L6" s="531"/>
    </row>
    <row r="7" spans="1:23" ht="16.5" customHeight="1" x14ac:dyDescent="0.35">
      <c r="B7" s="533" t="s">
        <v>9</v>
      </c>
      <c r="C7" s="533"/>
      <c r="D7" s="535">
        <v>234</v>
      </c>
      <c r="E7" s="536"/>
      <c r="F7" s="537"/>
      <c r="G7" s="538"/>
      <c r="H7" s="538"/>
      <c r="I7" s="538"/>
      <c r="J7" s="538"/>
      <c r="K7" s="531"/>
      <c r="L7" s="531"/>
    </row>
    <row r="8" spans="1:23" ht="23.25" customHeight="1" x14ac:dyDescent="0.35">
      <c r="B8" s="539" t="s">
        <v>528</v>
      </c>
      <c r="C8" s="533"/>
      <c r="D8" s="540">
        <f>SUM(D5:D7)</f>
        <v>7234</v>
      </c>
      <c r="E8" s="536"/>
      <c r="F8" s="537"/>
      <c r="G8" s="538"/>
      <c r="H8" s="538"/>
      <c r="I8" s="538"/>
      <c r="J8" s="538"/>
      <c r="K8" s="531"/>
      <c r="L8" s="531"/>
    </row>
    <row r="9" spans="1:23" ht="24.75" customHeight="1" x14ac:dyDescent="0.35">
      <c r="A9" s="532" t="s">
        <v>529</v>
      </c>
      <c r="B9" s="539"/>
      <c r="C9" s="533"/>
      <c r="D9" s="537"/>
      <c r="E9" s="536"/>
      <c r="F9" s="537"/>
      <c r="G9" s="538"/>
      <c r="H9" s="538"/>
      <c r="I9" s="538"/>
      <c r="J9" s="538"/>
      <c r="K9" s="531"/>
      <c r="L9" s="531"/>
    </row>
    <row r="10" spans="1:23" ht="16.5" customHeight="1" x14ac:dyDescent="0.35">
      <c r="B10" s="533" t="s">
        <v>530</v>
      </c>
      <c r="C10" s="533"/>
      <c r="D10" s="535">
        <f>D8*20%</f>
        <v>1446.8000000000002</v>
      </c>
      <c r="E10" s="536"/>
      <c r="F10" s="537" t="s">
        <v>531</v>
      </c>
      <c r="G10" s="538"/>
      <c r="H10" s="538"/>
      <c r="I10" s="538"/>
      <c r="J10" s="538"/>
      <c r="K10" s="531"/>
      <c r="L10" s="531"/>
    </row>
    <row r="11" spans="1:23" ht="16.5" customHeight="1" x14ac:dyDescent="0.35">
      <c r="B11" s="533" t="s">
        <v>532</v>
      </c>
      <c r="C11" s="533"/>
      <c r="D11" s="541">
        <f>D8*7.65%</f>
        <v>553.40099999999995</v>
      </c>
      <c r="E11" s="536"/>
      <c r="F11" s="537" t="s">
        <v>533</v>
      </c>
      <c r="G11" s="538"/>
      <c r="H11" s="538"/>
      <c r="I11" s="538"/>
      <c r="J11" s="538"/>
      <c r="K11" s="531"/>
      <c r="L11" s="531"/>
    </row>
    <row r="12" spans="1:23" ht="21" customHeight="1" x14ac:dyDescent="0.35">
      <c r="B12" s="539" t="s">
        <v>534</v>
      </c>
      <c r="C12" s="533"/>
      <c r="D12" s="542">
        <f>SUM(D10:D11)</f>
        <v>2000.201</v>
      </c>
      <c r="E12" s="537"/>
      <c r="F12" s="537"/>
      <c r="G12" s="538"/>
      <c r="H12" s="538"/>
      <c r="I12" s="538"/>
      <c r="J12" s="538"/>
      <c r="K12" s="531"/>
      <c r="L12" s="531"/>
    </row>
    <row r="13" spans="1:23" ht="22.5" customHeight="1" x14ac:dyDescent="0.35">
      <c r="B13" s="539" t="s">
        <v>535</v>
      </c>
      <c r="C13" s="533"/>
      <c r="D13" s="540">
        <f>D8-D12</f>
        <v>5233.799</v>
      </c>
      <c r="E13" s="537"/>
      <c r="F13" s="537" t="s">
        <v>536</v>
      </c>
      <c r="G13" s="538"/>
      <c r="H13" s="538"/>
      <c r="I13" s="538"/>
      <c r="J13" s="538"/>
      <c r="K13" s="531"/>
      <c r="L13" s="531"/>
    </row>
    <row r="14" spans="1:23" ht="26.25" customHeight="1" x14ac:dyDescent="0.35">
      <c r="A14" s="532" t="s">
        <v>537</v>
      </c>
      <c r="B14" s="533"/>
      <c r="C14" s="533"/>
      <c r="D14" s="537"/>
      <c r="E14" s="537"/>
      <c r="F14" s="537" t="s">
        <v>538</v>
      </c>
      <c r="G14" s="538"/>
      <c r="H14" s="538"/>
      <c r="I14" s="538"/>
      <c r="J14" s="538"/>
      <c r="K14" s="531"/>
      <c r="L14" s="531"/>
    </row>
    <row r="15" spans="1:23" ht="16.5" customHeight="1" x14ac:dyDescent="0.35">
      <c r="A15" s="532"/>
      <c r="B15" s="533" t="s">
        <v>539</v>
      </c>
      <c r="C15" s="533"/>
      <c r="D15" s="535">
        <v>200</v>
      </c>
      <c r="E15" s="536"/>
      <c r="F15" s="537"/>
      <c r="G15" s="538"/>
      <c r="H15" s="538"/>
      <c r="I15" s="538"/>
      <c r="J15" s="538"/>
      <c r="K15" s="531"/>
      <c r="L15" s="531"/>
      <c r="U15" s="526" t="s">
        <v>540</v>
      </c>
    </row>
    <row r="16" spans="1:23" ht="16.5" customHeight="1" x14ac:dyDescent="0.35">
      <c r="A16" s="532"/>
      <c r="B16" s="533" t="s">
        <v>541</v>
      </c>
      <c r="C16" s="533"/>
      <c r="D16" s="535">
        <v>200</v>
      </c>
      <c r="E16" s="536"/>
      <c r="F16" s="638" t="s">
        <v>542</v>
      </c>
      <c r="G16" s="638"/>
      <c r="H16" s="638"/>
      <c r="I16" s="638"/>
      <c r="J16" s="538"/>
      <c r="K16" s="531"/>
      <c r="L16" s="531"/>
      <c r="N16" s="526" t="s">
        <v>543</v>
      </c>
      <c r="U16" s="526">
        <v>20</v>
      </c>
      <c r="V16" s="543">
        <f>T263</f>
        <v>1100324.4653987372</v>
      </c>
      <c r="W16" s="526" t="s">
        <v>544</v>
      </c>
    </row>
    <row r="17" spans="1:27" ht="16.5" customHeight="1" x14ac:dyDescent="0.35">
      <c r="A17" s="532"/>
      <c r="B17" s="533" t="s">
        <v>545</v>
      </c>
      <c r="C17" s="533"/>
      <c r="D17" s="535">
        <v>0</v>
      </c>
      <c r="E17" s="536"/>
      <c r="F17" s="638" t="s">
        <v>546</v>
      </c>
      <c r="G17" s="638"/>
      <c r="H17" s="638"/>
      <c r="I17" s="638"/>
      <c r="J17" s="538"/>
      <c r="K17" s="531"/>
      <c r="L17" s="531"/>
      <c r="U17" s="526">
        <v>30</v>
      </c>
      <c r="V17" s="543">
        <f>T383</f>
        <v>3000000</v>
      </c>
      <c r="W17" s="526" t="s">
        <v>547</v>
      </c>
      <c r="Y17" s="544">
        <v>3000000</v>
      </c>
    </row>
    <row r="18" spans="1:27" ht="24" customHeight="1" x14ac:dyDescent="0.35">
      <c r="B18" s="539" t="s">
        <v>548</v>
      </c>
      <c r="C18" s="533"/>
      <c r="D18" s="545">
        <f>SUM(D15:D17)</f>
        <v>400</v>
      </c>
      <c r="E18" s="546"/>
      <c r="F18" s="547"/>
      <c r="G18" s="548"/>
      <c r="H18" s="548"/>
      <c r="I18" s="548"/>
      <c r="J18" s="538"/>
      <c r="K18" s="531"/>
      <c r="L18" s="531"/>
      <c r="T18" s="549">
        <v>0.08</v>
      </c>
      <c r="U18" s="526">
        <v>40</v>
      </c>
      <c r="V18" s="543">
        <f>T503</f>
        <v>7408390.0036544958</v>
      </c>
      <c r="W18" s="526" t="s">
        <v>549</v>
      </c>
      <c r="Y18" s="526" t="s">
        <v>550</v>
      </c>
    </row>
    <row r="19" spans="1:27" ht="24" customHeight="1" x14ac:dyDescent="0.35">
      <c r="A19" s="532" t="s">
        <v>16</v>
      </c>
      <c r="B19" s="533"/>
      <c r="C19" s="533"/>
      <c r="D19" s="537"/>
      <c r="E19" s="537"/>
      <c r="F19" s="537"/>
      <c r="G19" s="538"/>
      <c r="H19" s="538"/>
      <c r="I19" s="538"/>
      <c r="J19" s="538"/>
      <c r="K19" s="531"/>
      <c r="L19" s="531"/>
      <c r="R19" s="550">
        <v>0.03</v>
      </c>
      <c r="T19" s="549">
        <f>T18/12</f>
        <v>6.6666666666666671E-3</v>
      </c>
      <c r="Y19" s="526">
        <v>20</v>
      </c>
      <c r="Z19" s="526">
        <v>30</v>
      </c>
      <c r="AA19" s="526">
        <v>40</v>
      </c>
    </row>
    <row r="20" spans="1:27" ht="16.5" customHeight="1" x14ac:dyDescent="0.35">
      <c r="B20" s="533" t="s">
        <v>551</v>
      </c>
      <c r="C20" s="533"/>
      <c r="D20" s="535">
        <v>1200</v>
      </c>
      <c r="E20" s="536"/>
      <c r="F20" s="537" t="s">
        <v>552</v>
      </c>
      <c r="G20" s="538"/>
      <c r="H20" s="538"/>
      <c r="I20" s="538"/>
      <c r="J20" s="538"/>
      <c r="K20" s="531"/>
      <c r="L20" s="531"/>
      <c r="Q20" s="526">
        <v>1</v>
      </c>
      <c r="R20" s="526">
        <v>1491.0400041675171</v>
      </c>
      <c r="T20" s="543">
        <f>R20*(1+$T$19)</f>
        <v>1500.980270861967</v>
      </c>
      <c r="Y20" s="526">
        <v>2710</v>
      </c>
      <c r="Z20" s="526">
        <v>1250</v>
      </c>
      <c r="AA20" s="526">
        <v>600</v>
      </c>
    </row>
    <row r="21" spans="1:27" ht="16.5" customHeight="1" x14ac:dyDescent="0.35">
      <c r="B21" s="533" t="s">
        <v>553</v>
      </c>
      <c r="C21" s="533"/>
      <c r="D21" s="537"/>
      <c r="E21" s="537"/>
      <c r="F21" s="537" t="s">
        <v>554</v>
      </c>
      <c r="G21" s="538"/>
      <c r="H21" s="538"/>
      <c r="I21" s="538"/>
      <c r="J21" s="538"/>
      <c r="K21" s="531"/>
      <c r="L21" s="531"/>
      <c r="Q21" s="526">
        <v>2</v>
      </c>
      <c r="R21" s="526">
        <f>R20</f>
        <v>1491.0400041675171</v>
      </c>
      <c r="T21" s="543">
        <f>(T20+R21)*(1+$T$19)</f>
        <v>3011.9670768630135</v>
      </c>
    </row>
    <row r="22" spans="1:27" ht="16.5" customHeight="1" x14ac:dyDescent="0.35">
      <c r="B22" s="533" t="s">
        <v>555</v>
      </c>
      <c r="C22" s="533"/>
      <c r="D22" s="535">
        <v>500</v>
      </c>
      <c r="E22" s="536"/>
      <c r="F22" s="537"/>
      <c r="G22" s="538"/>
      <c r="H22" s="538"/>
      <c r="I22" s="538"/>
      <c r="J22" s="538"/>
      <c r="K22" s="531"/>
      <c r="L22" s="531"/>
      <c r="Q22" s="526">
        <v>3</v>
      </c>
      <c r="R22" s="526">
        <f t="shared" ref="R22:R31" si="0">R21</f>
        <v>1491.0400041675171</v>
      </c>
      <c r="T22" s="543">
        <f t="shared" ref="T22:T85" si="1">(T21+R22)*(1+$T$19)</f>
        <v>4533.0271282374006</v>
      </c>
    </row>
    <row r="23" spans="1:27" ht="16.5" customHeight="1" x14ac:dyDescent="0.35">
      <c r="B23" s="533" t="s">
        <v>556</v>
      </c>
      <c r="C23" s="533"/>
      <c r="D23" s="535"/>
      <c r="E23" s="536"/>
      <c r="F23" s="537"/>
      <c r="G23" s="538"/>
      <c r="H23" s="538"/>
      <c r="I23" s="538"/>
      <c r="J23" s="538"/>
      <c r="K23" s="531"/>
      <c r="L23" s="531"/>
      <c r="Q23" s="526">
        <v>4</v>
      </c>
      <c r="R23" s="526">
        <f t="shared" si="0"/>
        <v>1491.0400041675171</v>
      </c>
      <c r="T23" s="543">
        <f t="shared" si="1"/>
        <v>6064.227579954284</v>
      </c>
    </row>
    <row r="24" spans="1:27" ht="16.5" customHeight="1" x14ac:dyDescent="0.35">
      <c r="B24" s="533" t="s">
        <v>557</v>
      </c>
      <c r="C24" s="533"/>
      <c r="D24" s="535"/>
      <c r="E24" s="536"/>
      <c r="F24" s="537"/>
      <c r="G24" s="538"/>
      <c r="H24" s="538"/>
      <c r="I24" s="538"/>
      <c r="J24" s="538"/>
      <c r="K24" s="531"/>
      <c r="L24" s="531"/>
      <c r="Q24" s="526">
        <v>5</v>
      </c>
      <c r="R24" s="526">
        <f t="shared" si="0"/>
        <v>1491.0400041675171</v>
      </c>
      <c r="T24" s="543">
        <f t="shared" si="1"/>
        <v>7605.6360346826123</v>
      </c>
    </row>
    <row r="25" spans="1:27" ht="16.5" customHeight="1" x14ac:dyDescent="0.35">
      <c r="B25" s="533" t="s">
        <v>558</v>
      </c>
      <c r="C25" s="533"/>
      <c r="D25" s="535">
        <v>200</v>
      </c>
      <c r="E25" s="536"/>
      <c r="F25" s="537"/>
      <c r="G25" s="538"/>
      <c r="H25" s="538"/>
      <c r="I25" s="538"/>
      <c r="J25" s="538"/>
      <c r="K25" s="531"/>
      <c r="L25" s="531"/>
      <c r="Q25" s="526">
        <v>6</v>
      </c>
      <c r="R25" s="526">
        <f t="shared" si="0"/>
        <v>1491.0400041675171</v>
      </c>
      <c r="T25" s="543">
        <f t="shared" si="1"/>
        <v>9157.3205457757958</v>
      </c>
    </row>
    <row r="26" spans="1:27" ht="16.5" customHeight="1" x14ac:dyDescent="0.35">
      <c r="B26" s="533" t="s">
        <v>559</v>
      </c>
      <c r="C26" s="533"/>
      <c r="D26" s="537"/>
      <c r="E26" s="537"/>
      <c r="F26" s="537" t="s">
        <v>560</v>
      </c>
      <c r="G26" s="538"/>
      <c r="H26" s="538"/>
      <c r="I26" s="538"/>
      <c r="J26" s="538"/>
      <c r="K26" s="531"/>
      <c r="L26" s="531"/>
      <c r="Q26" s="526">
        <v>7</v>
      </c>
      <c r="R26" s="526">
        <f t="shared" si="0"/>
        <v>1491.0400041675171</v>
      </c>
      <c r="T26" s="543">
        <f t="shared" si="1"/>
        <v>10719.349620276267</v>
      </c>
    </row>
    <row r="27" spans="1:27" ht="16.5" customHeight="1" x14ac:dyDescent="0.35">
      <c r="B27" s="533" t="s">
        <v>561</v>
      </c>
      <c r="C27" s="533"/>
      <c r="D27" s="535">
        <v>150</v>
      </c>
      <c r="E27" s="536"/>
      <c r="F27" s="537"/>
      <c r="G27" s="538"/>
      <c r="H27" s="538"/>
      <c r="I27" s="538"/>
      <c r="J27" s="538"/>
      <c r="K27" s="531"/>
      <c r="L27" s="531"/>
      <c r="Q27" s="526">
        <v>8</v>
      </c>
      <c r="R27" s="526">
        <f t="shared" si="0"/>
        <v>1491.0400041675171</v>
      </c>
      <c r="T27" s="543">
        <f t="shared" si="1"/>
        <v>12291.792221940075</v>
      </c>
    </row>
    <row r="28" spans="1:27" ht="16.5" customHeight="1" x14ac:dyDescent="0.35">
      <c r="B28" s="533" t="s">
        <v>562</v>
      </c>
      <c r="C28" s="533"/>
      <c r="D28" s="535">
        <v>100</v>
      </c>
      <c r="E28" s="536"/>
      <c r="F28" s="537"/>
      <c r="G28" s="538"/>
      <c r="H28" s="538"/>
      <c r="I28" s="538"/>
      <c r="J28" s="538"/>
      <c r="K28" s="531"/>
      <c r="L28" s="531"/>
      <c r="Q28" s="526">
        <v>9</v>
      </c>
      <c r="R28" s="526">
        <f t="shared" si="0"/>
        <v>1491.0400041675171</v>
      </c>
      <c r="T28" s="543">
        <f t="shared" si="1"/>
        <v>13874.717774281642</v>
      </c>
    </row>
    <row r="29" spans="1:27" ht="16.5" customHeight="1" x14ac:dyDescent="0.35">
      <c r="B29" s="533" t="s">
        <v>563</v>
      </c>
      <c r="C29" s="533"/>
      <c r="D29" s="535"/>
      <c r="E29" s="536"/>
      <c r="F29" s="537"/>
      <c r="G29" s="538"/>
      <c r="H29" s="538"/>
      <c r="I29" s="538"/>
      <c r="J29" s="538"/>
      <c r="K29" s="531"/>
      <c r="L29" s="531"/>
      <c r="Q29" s="526">
        <v>10</v>
      </c>
      <c r="R29" s="526">
        <f t="shared" si="0"/>
        <v>1491.0400041675171</v>
      </c>
      <c r="T29" s="543">
        <f t="shared" si="1"/>
        <v>15468.196163638819</v>
      </c>
    </row>
    <row r="30" spans="1:27" ht="16.5" customHeight="1" x14ac:dyDescent="0.35">
      <c r="B30" s="533" t="s">
        <v>564</v>
      </c>
      <c r="C30" s="533"/>
      <c r="D30" s="535">
        <v>500</v>
      </c>
      <c r="E30" s="536"/>
      <c r="F30" s="537" t="s">
        <v>565</v>
      </c>
      <c r="G30" s="538"/>
      <c r="H30" s="538"/>
      <c r="I30" s="538"/>
      <c r="J30" s="538"/>
      <c r="K30" s="531"/>
      <c r="L30" s="531"/>
      <c r="Q30" s="526">
        <v>11</v>
      </c>
      <c r="R30" s="526">
        <f t="shared" si="0"/>
        <v>1491.0400041675171</v>
      </c>
      <c r="T30" s="543">
        <f t="shared" si="1"/>
        <v>17072.297742258375</v>
      </c>
    </row>
    <row r="31" spans="1:27" ht="16.5" customHeight="1" x14ac:dyDescent="0.35">
      <c r="B31" s="533" t="s">
        <v>566</v>
      </c>
      <c r="C31" s="533"/>
      <c r="D31" s="535">
        <v>200</v>
      </c>
      <c r="E31" s="536"/>
      <c r="F31" s="537" t="s">
        <v>567</v>
      </c>
      <c r="G31" s="538"/>
      <c r="H31" s="538"/>
      <c r="I31" s="538"/>
      <c r="J31" s="538"/>
      <c r="K31" s="531"/>
      <c r="L31" s="531"/>
      <c r="Q31" s="526">
        <v>12</v>
      </c>
      <c r="R31" s="526">
        <f t="shared" si="0"/>
        <v>1491.0400041675171</v>
      </c>
      <c r="T31" s="543">
        <f t="shared" si="1"/>
        <v>18687.093331402062</v>
      </c>
    </row>
    <row r="32" spans="1:27" ht="16.5" customHeight="1" x14ac:dyDescent="0.35">
      <c r="B32" s="533" t="s">
        <v>568</v>
      </c>
      <c r="C32" s="533"/>
      <c r="D32" s="537"/>
      <c r="E32" s="537"/>
      <c r="F32" s="537"/>
      <c r="G32" s="538"/>
      <c r="H32" s="538"/>
      <c r="I32" s="538"/>
      <c r="J32" s="538"/>
      <c r="K32" s="531"/>
      <c r="L32" s="531"/>
      <c r="Q32" s="526">
        <v>13</v>
      </c>
      <c r="R32" s="526">
        <f>R20*(1+$R$19)</f>
        <v>1535.7712042925425</v>
      </c>
      <c r="T32" s="543">
        <f t="shared" si="1"/>
        <v>20357.683632599234</v>
      </c>
    </row>
    <row r="33" spans="2:20" ht="16.5" customHeight="1" x14ac:dyDescent="0.35">
      <c r="B33" s="533" t="s">
        <v>569</v>
      </c>
      <c r="C33" s="533"/>
      <c r="D33" s="535">
        <v>100</v>
      </c>
      <c r="E33" s="536"/>
      <c r="F33" s="537" t="s">
        <v>570</v>
      </c>
      <c r="G33" s="538"/>
      <c r="H33" s="538"/>
      <c r="I33" s="538"/>
      <c r="J33" s="538"/>
      <c r="K33" s="531"/>
      <c r="L33" s="531"/>
      <c r="Q33" s="526">
        <v>14</v>
      </c>
      <c r="R33" s="526">
        <f t="shared" ref="R33:R87" si="2">R21*(1+$R$19)</f>
        <v>1535.7712042925425</v>
      </c>
      <c r="T33" s="543">
        <f t="shared" si="1"/>
        <v>22039.411202471052</v>
      </c>
    </row>
    <row r="34" spans="2:20" ht="16.5" customHeight="1" x14ac:dyDescent="0.35">
      <c r="B34" s="533" t="s">
        <v>571</v>
      </c>
      <c r="C34" s="533"/>
      <c r="D34" s="535">
        <v>80</v>
      </c>
      <c r="E34" s="536"/>
      <c r="F34" s="537"/>
      <c r="G34" s="538"/>
      <c r="H34" s="538"/>
      <c r="I34" s="538"/>
      <c r="J34" s="538"/>
      <c r="K34" s="531"/>
      <c r="L34" s="531"/>
      <c r="Q34" s="526">
        <v>15</v>
      </c>
      <c r="R34" s="526">
        <f t="shared" si="2"/>
        <v>1535.7712042925425</v>
      </c>
      <c r="T34" s="543">
        <f t="shared" si="1"/>
        <v>23732.350289475347</v>
      </c>
    </row>
    <row r="35" spans="2:20" ht="16.5" customHeight="1" x14ac:dyDescent="0.35">
      <c r="B35" s="533" t="s">
        <v>572</v>
      </c>
      <c r="C35" s="533"/>
      <c r="D35" s="535">
        <v>400</v>
      </c>
      <c r="E35" s="536"/>
      <c r="F35" s="537" t="s">
        <v>573</v>
      </c>
      <c r="G35" s="538"/>
      <c r="H35" s="538"/>
      <c r="I35" s="538"/>
      <c r="J35" s="538"/>
      <c r="K35" s="531"/>
      <c r="L35" s="531"/>
      <c r="Q35" s="526">
        <v>16</v>
      </c>
      <c r="R35" s="526">
        <f t="shared" si="2"/>
        <v>1535.7712042925425</v>
      </c>
      <c r="T35" s="543">
        <f t="shared" si="1"/>
        <v>25436.575637059672</v>
      </c>
    </row>
    <row r="36" spans="2:20" ht="16.5" customHeight="1" x14ac:dyDescent="0.35">
      <c r="B36" s="533" t="s">
        <v>574</v>
      </c>
      <c r="C36" s="533"/>
      <c r="D36" s="535"/>
      <c r="E36" s="536"/>
      <c r="F36" s="537"/>
      <c r="G36" s="538"/>
      <c r="H36" s="538"/>
      <c r="I36" s="538"/>
      <c r="J36" s="538"/>
      <c r="K36" s="531"/>
      <c r="L36" s="531"/>
      <c r="Q36" s="526">
        <v>17</v>
      </c>
      <c r="R36" s="526">
        <f t="shared" si="2"/>
        <v>1535.7712042925425</v>
      </c>
      <c r="T36" s="543">
        <f t="shared" si="1"/>
        <v>27152.162486961228</v>
      </c>
    </row>
    <row r="37" spans="2:20" ht="16.5" customHeight="1" x14ac:dyDescent="0.35">
      <c r="B37" s="533" t="s">
        <v>575</v>
      </c>
      <c r="C37" s="533"/>
      <c r="D37" s="535"/>
      <c r="E37" s="536"/>
      <c r="F37" s="537" t="s">
        <v>576</v>
      </c>
      <c r="G37" s="538"/>
      <c r="H37" s="538"/>
      <c r="I37" s="538"/>
      <c r="J37" s="538"/>
      <c r="K37" s="531"/>
      <c r="L37" s="531"/>
      <c r="Q37" s="526">
        <v>18</v>
      </c>
      <c r="R37" s="526">
        <f t="shared" si="2"/>
        <v>1535.7712042925425</v>
      </c>
      <c r="T37" s="543">
        <f t="shared" si="1"/>
        <v>28879.186582528793</v>
      </c>
    </row>
    <row r="38" spans="2:20" ht="16.5" customHeight="1" x14ac:dyDescent="0.35">
      <c r="B38" s="533" t="s">
        <v>563</v>
      </c>
      <c r="C38" s="533"/>
      <c r="D38" s="535"/>
      <c r="E38" s="536"/>
      <c r="F38" s="537"/>
      <c r="G38" s="538"/>
      <c r="H38" s="538"/>
      <c r="I38" s="538"/>
      <c r="J38" s="538"/>
      <c r="K38" s="531"/>
      <c r="L38" s="531"/>
      <c r="Q38" s="526">
        <v>19</v>
      </c>
      <c r="R38" s="526">
        <f t="shared" si="2"/>
        <v>1535.7712042925425</v>
      </c>
      <c r="T38" s="543">
        <f t="shared" si="1"/>
        <v>30617.72417206681</v>
      </c>
    </row>
    <row r="39" spans="2:20" ht="16.5" customHeight="1" x14ac:dyDescent="0.35">
      <c r="B39" s="533" t="s">
        <v>577</v>
      </c>
      <c r="C39" s="533"/>
      <c r="D39" s="535">
        <v>200</v>
      </c>
      <c r="E39" s="536"/>
      <c r="F39" s="537" t="s">
        <v>567</v>
      </c>
      <c r="G39" s="538"/>
      <c r="H39" s="538"/>
      <c r="I39" s="538"/>
      <c r="J39" s="538"/>
      <c r="K39" s="531"/>
      <c r="L39" s="531"/>
      <c r="Q39" s="526">
        <v>20</v>
      </c>
      <c r="R39" s="526">
        <f t="shared" si="2"/>
        <v>1535.7712042925425</v>
      </c>
      <c r="T39" s="543">
        <f t="shared" si="1"/>
        <v>32367.852012201743</v>
      </c>
    </row>
    <row r="40" spans="2:20" ht="16.5" customHeight="1" x14ac:dyDescent="0.35">
      <c r="B40" s="533" t="s">
        <v>578</v>
      </c>
      <c r="C40" s="533"/>
      <c r="D40" s="535">
        <v>150</v>
      </c>
      <c r="E40" s="536"/>
      <c r="F40" s="537" t="s">
        <v>579</v>
      </c>
      <c r="G40" s="538"/>
      <c r="H40" s="538"/>
      <c r="I40" s="538"/>
      <c r="J40" s="538"/>
      <c r="K40" s="531"/>
      <c r="L40" s="531"/>
      <c r="Q40" s="526">
        <v>21</v>
      </c>
      <c r="R40" s="526">
        <f t="shared" si="2"/>
        <v>1535.7712042925425</v>
      </c>
      <c r="T40" s="543">
        <f t="shared" si="1"/>
        <v>34129.647371270912</v>
      </c>
    </row>
    <row r="41" spans="2:20" ht="16.5" customHeight="1" x14ac:dyDescent="0.35">
      <c r="B41" s="533" t="s">
        <v>580</v>
      </c>
      <c r="C41" s="533"/>
      <c r="D41" s="537"/>
      <c r="E41" s="537"/>
      <c r="F41" s="537"/>
      <c r="G41" s="538"/>
      <c r="H41" s="538"/>
      <c r="I41" s="538"/>
      <c r="J41" s="538"/>
      <c r="K41" s="531"/>
      <c r="L41" s="531"/>
      <c r="Q41" s="526">
        <v>22</v>
      </c>
      <c r="R41" s="526">
        <f t="shared" si="2"/>
        <v>1535.7712042925425</v>
      </c>
      <c r="T41" s="543">
        <f t="shared" si="1"/>
        <v>35903.188032733873</v>
      </c>
    </row>
    <row r="42" spans="2:20" ht="16.5" customHeight="1" x14ac:dyDescent="0.35">
      <c r="B42" s="533" t="s">
        <v>581</v>
      </c>
      <c r="C42" s="533"/>
      <c r="D42" s="535">
        <v>100</v>
      </c>
      <c r="E42" s="536"/>
      <c r="F42" s="537"/>
      <c r="G42" s="538"/>
      <c r="H42" s="538"/>
      <c r="I42" s="538"/>
      <c r="J42" s="538"/>
      <c r="K42" s="531"/>
      <c r="L42" s="531"/>
      <c r="Q42" s="526">
        <v>23</v>
      </c>
      <c r="R42" s="526">
        <f t="shared" si="2"/>
        <v>1535.7712042925425</v>
      </c>
      <c r="T42" s="543">
        <f t="shared" si="1"/>
        <v>37688.552298606592</v>
      </c>
    </row>
    <row r="43" spans="2:20" ht="16.5" customHeight="1" x14ac:dyDescent="0.35">
      <c r="B43" s="533" t="s">
        <v>563</v>
      </c>
      <c r="C43" s="533"/>
      <c r="D43" s="535"/>
      <c r="E43" s="536"/>
      <c r="F43" s="537"/>
      <c r="G43" s="538"/>
      <c r="H43" s="538"/>
      <c r="I43" s="538"/>
      <c r="J43" s="538"/>
      <c r="K43" s="531"/>
      <c r="L43" s="531"/>
      <c r="Q43" s="526">
        <v>24</v>
      </c>
      <c r="R43" s="526">
        <f t="shared" si="2"/>
        <v>1535.7712042925425</v>
      </c>
      <c r="T43" s="543">
        <f t="shared" si="1"/>
        <v>39485.818992918459</v>
      </c>
    </row>
    <row r="44" spans="2:20" ht="16.5" customHeight="1" x14ac:dyDescent="0.35">
      <c r="B44" s="533" t="s">
        <v>582</v>
      </c>
      <c r="C44" s="533"/>
      <c r="D44" s="535"/>
      <c r="E44" s="536"/>
      <c r="F44" s="537" t="s">
        <v>583</v>
      </c>
      <c r="G44" s="538"/>
      <c r="H44" s="538"/>
      <c r="I44" s="538"/>
      <c r="J44" s="538"/>
      <c r="K44" s="531"/>
      <c r="L44" s="531"/>
      <c r="Q44" s="526">
        <v>25</v>
      </c>
      <c r="R44" s="526">
        <f t="shared" si="2"/>
        <v>1581.8443404213187</v>
      </c>
      <c r="T44" s="543">
        <f t="shared" si="1"/>
        <v>41341.44775556204</v>
      </c>
    </row>
    <row r="45" spans="2:20" ht="16.5" customHeight="1" x14ac:dyDescent="0.35">
      <c r="B45" s="533" t="s">
        <v>584</v>
      </c>
      <c r="C45" s="533"/>
      <c r="D45" s="535">
        <v>300</v>
      </c>
      <c r="E45" s="536"/>
      <c r="F45" s="537" t="s">
        <v>567</v>
      </c>
      <c r="G45" s="538"/>
      <c r="H45" s="538"/>
      <c r="I45" s="538"/>
      <c r="J45" s="538"/>
      <c r="K45" s="531"/>
      <c r="L45" s="531"/>
      <c r="Q45" s="526">
        <v>26</v>
      </c>
      <c r="R45" s="526">
        <f t="shared" si="2"/>
        <v>1581.8443404213187</v>
      </c>
      <c r="T45" s="543">
        <f t="shared" si="1"/>
        <v>43209.44737662324</v>
      </c>
    </row>
    <row r="46" spans="2:20" ht="16.5" customHeight="1" x14ac:dyDescent="0.35">
      <c r="B46" s="533" t="s">
        <v>30</v>
      </c>
      <c r="C46" s="533"/>
      <c r="D46" s="535">
        <v>100</v>
      </c>
      <c r="E46" s="536"/>
      <c r="F46" s="537" t="s">
        <v>585</v>
      </c>
      <c r="G46" s="533"/>
      <c r="H46" s="533"/>
      <c r="I46" s="533"/>
      <c r="J46" s="533"/>
      <c r="L46" s="531"/>
      <c r="Q46" s="526">
        <v>27</v>
      </c>
      <c r="R46" s="526">
        <f t="shared" si="2"/>
        <v>1581.8443404213187</v>
      </c>
      <c r="T46" s="543">
        <f t="shared" si="1"/>
        <v>45089.900328491516</v>
      </c>
    </row>
    <row r="47" spans="2:20" ht="22.5" customHeight="1" x14ac:dyDescent="0.35">
      <c r="B47" s="539" t="s">
        <v>586</v>
      </c>
      <c r="C47" s="533"/>
      <c r="D47" s="551">
        <f>SUM(D20:D46)</f>
        <v>4280</v>
      </c>
      <c r="E47" s="533"/>
      <c r="F47" s="533"/>
      <c r="G47" s="538"/>
      <c r="H47" s="538"/>
      <c r="I47" s="538"/>
      <c r="J47" s="538"/>
      <c r="K47" s="531"/>
      <c r="L47" s="531"/>
      <c r="Q47" s="526">
        <v>28</v>
      </c>
      <c r="R47" s="526">
        <f t="shared" si="2"/>
        <v>1581.8443404213187</v>
      </c>
      <c r="T47" s="543">
        <f t="shared" si="1"/>
        <v>46982.889633372251</v>
      </c>
    </row>
    <row r="48" spans="2:20" ht="19.5" customHeight="1" x14ac:dyDescent="0.35">
      <c r="B48" s="539" t="s">
        <v>587</v>
      </c>
      <c r="C48" s="539"/>
      <c r="D48" s="552">
        <f>D47*H48</f>
        <v>428</v>
      </c>
      <c r="E48" s="536"/>
      <c r="F48" s="537" t="s">
        <v>588</v>
      </c>
      <c r="G48" s="538"/>
      <c r="H48" s="553">
        <v>0.1</v>
      </c>
      <c r="I48" s="538"/>
      <c r="J48" s="538"/>
      <c r="K48" s="531"/>
      <c r="L48" s="531"/>
      <c r="Q48" s="526">
        <v>29</v>
      </c>
      <c r="R48" s="526">
        <f t="shared" si="2"/>
        <v>1581.8443404213187</v>
      </c>
      <c r="T48" s="543">
        <f t="shared" si="1"/>
        <v>48888.498866952192</v>
      </c>
    </row>
    <row r="49" spans="1:20" ht="18.75" customHeight="1" x14ac:dyDescent="0.35">
      <c r="B49" s="539" t="s">
        <v>589</v>
      </c>
      <c r="C49" s="533"/>
      <c r="D49" s="540">
        <f>SUM(D47:D48)</f>
        <v>4708</v>
      </c>
      <c r="E49" s="536"/>
      <c r="F49" s="537" t="s">
        <v>590</v>
      </c>
      <c r="G49" s="538"/>
      <c r="H49" s="538"/>
      <c r="I49" s="538"/>
      <c r="J49" s="538"/>
      <c r="K49" s="531"/>
      <c r="L49" s="531"/>
      <c r="Q49" s="526">
        <v>30</v>
      </c>
      <c r="R49" s="526">
        <f t="shared" si="2"/>
        <v>1581.8443404213187</v>
      </c>
      <c r="T49" s="543">
        <f t="shared" si="1"/>
        <v>50806.812162089329</v>
      </c>
    </row>
    <row r="50" spans="1:20" ht="22.5" customHeight="1" x14ac:dyDescent="0.35">
      <c r="B50" s="539" t="s">
        <v>591</v>
      </c>
      <c r="C50" s="533"/>
      <c r="D50" s="554">
        <f>D13-D18-D49</f>
        <v>125.79899999999998</v>
      </c>
      <c r="E50" s="536"/>
      <c r="F50" s="537" t="s">
        <v>592</v>
      </c>
      <c r="G50" s="538"/>
      <c r="H50" s="538"/>
      <c r="I50" s="538"/>
      <c r="J50" s="538"/>
      <c r="K50" s="531"/>
      <c r="L50" s="531"/>
      <c r="Q50" s="526">
        <v>31</v>
      </c>
      <c r="R50" s="526">
        <f t="shared" si="2"/>
        <v>1581.8443404213187</v>
      </c>
      <c r="T50" s="543">
        <f t="shared" si="1"/>
        <v>52737.914212527379</v>
      </c>
    </row>
    <row r="51" spans="1:20" ht="6.75" customHeight="1" x14ac:dyDescent="0.35">
      <c r="B51" s="539"/>
      <c r="C51" s="533"/>
      <c r="D51" s="537"/>
      <c r="E51" s="537"/>
      <c r="F51" s="537"/>
      <c r="G51" s="538"/>
      <c r="H51" s="538"/>
      <c r="I51" s="538"/>
      <c r="J51" s="538"/>
      <c r="K51" s="531"/>
      <c r="L51" s="531"/>
      <c r="Q51" s="526">
        <v>32</v>
      </c>
      <c r="R51" s="526">
        <f t="shared" si="2"/>
        <v>1581.8443404213187</v>
      </c>
      <c r="T51" s="543">
        <f t="shared" si="1"/>
        <v>54681.890276635015</v>
      </c>
    </row>
    <row r="52" spans="1:20" ht="21.75" customHeight="1" x14ac:dyDescent="0.5">
      <c r="A52" s="639" t="s">
        <v>593</v>
      </c>
      <c r="B52" s="639"/>
      <c r="C52" s="639"/>
      <c r="D52" s="639"/>
      <c r="E52" s="639"/>
      <c r="F52" s="639"/>
      <c r="G52" s="639"/>
      <c r="H52" s="639"/>
      <c r="I52" s="639"/>
      <c r="J52" s="639"/>
      <c r="K52" s="531"/>
      <c r="L52" s="531"/>
      <c r="Q52" s="526">
        <v>33</v>
      </c>
      <c r="R52" s="526">
        <f t="shared" si="2"/>
        <v>1581.8443404213187</v>
      </c>
      <c r="T52" s="543">
        <f t="shared" si="1"/>
        <v>56638.826181170036</v>
      </c>
    </row>
    <row r="53" spans="1:20" ht="20.25" customHeight="1" x14ac:dyDescent="0.35">
      <c r="K53" s="531"/>
      <c r="L53" s="531"/>
      <c r="Q53" s="526">
        <v>34</v>
      </c>
      <c r="R53" s="526">
        <f t="shared" si="2"/>
        <v>1581.8443404213187</v>
      </c>
      <c r="T53" s="543">
        <f t="shared" si="1"/>
        <v>58608.808325068625</v>
      </c>
    </row>
    <row r="54" spans="1:20" ht="16.5" customHeight="1" x14ac:dyDescent="0.4">
      <c r="B54" s="555" t="s">
        <v>594</v>
      </c>
      <c r="L54" s="531"/>
      <c r="Q54" s="526">
        <v>35</v>
      </c>
      <c r="R54" s="526">
        <f t="shared" si="2"/>
        <v>1581.8443404213187</v>
      </c>
      <c r="T54" s="543">
        <f t="shared" si="1"/>
        <v>60591.923683259869</v>
      </c>
    </row>
    <row r="55" spans="1:20" ht="22.5" customHeight="1" x14ac:dyDescent="0.35">
      <c r="A55" s="526">
        <v>1</v>
      </c>
      <c r="B55" s="526" t="s">
        <v>595</v>
      </c>
      <c r="D55" s="544"/>
      <c r="F55" s="633"/>
      <c r="G55" s="633"/>
      <c r="H55" s="633"/>
      <c r="I55" s="633"/>
      <c r="L55" s="531"/>
      <c r="Q55" s="526">
        <v>36</v>
      </c>
      <c r="R55" s="526">
        <f t="shared" si="2"/>
        <v>1581.8443404213187</v>
      </c>
      <c r="T55" s="543">
        <f t="shared" si="1"/>
        <v>62588.259810505726</v>
      </c>
    </row>
    <row r="56" spans="1:20" ht="12" customHeight="1" x14ac:dyDescent="0.35">
      <c r="B56" s="556" t="s">
        <v>596</v>
      </c>
      <c r="D56" s="544"/>
      <c r="F56" s="557"/>
      <c r="G56" s="557"/>
      <c r="H56" s="557"/>
      <c r="I56" s="557"/>
      <c r="L56" s="531"/>
      <c r="T56" s="543"/>
    </row>
    <row r="57" spans="1:20" ht="23.25" customHeight="1" x14ac:dyDescent="0.35">
      <c r="A57" s="526">
        <v>2</v>
      </c>
      <c r="B57" s="526" t="s">
        <v>597</v>
      </c>
      <c r="F57" s="633"/>
      <c r="G57" s="633"/>
      <c r="H57" s="633"/>
      <c r="I57" s="633"/>
      <c r="L57" s="531"/>
      <c r="Q57" s="526">
        <v>37</v>
      </c>
      <c r="R57" s="526">
        <f t="shared" ref="R57:R68" si="3">R44*(1+$R$19)</f>
        <v>1629.2996706339584</v>
      </c>
      <c r="T57" s="543">
        <f>(T55+R57)*(1+$T$19)</f>
        <v>64645.676544347283</v>
      </c>
    </row>
    <row r="58" spans="1:20" ht="22.5" customHeight="1" x14ac:dyDescent="0.35">
      <c r="A58" s="526">
        <v>3</v>
      </c>
      <c r="B58" s="526" t="s">
        <v>598</v>
      </c>
      <c r="F58" s="634">
        <f>F55-F57</f>
        <v>0</v>
      </c>
      <c r="G58" s="634"/>
      <c r="H58" s="634"/>
      <c r="I58" s="634"/>
      <c r="J58" s="526" t="s">
        <v>599</v>
      </c>
      <c r="L58" s="531"/>
      <c r="Q58" s="526">
        <v>38</v>
      </c>
      <c r="R58" s="526">
        <f t="shared" si="3"/>
        <v>1629.2996706339584</v>
      </c>
      <c r="T58" s="543">
        <f t="shared" si="1"/>
        <v>66716.809389747781</v>
      </c>
    </row>
    <row r="59" spans="1:20" ht="21" customHeight="1" x14ac:dyDescent="0.35">
      <c r="A59" s="526">
        <v>4</v>
      </c>
      <c r="B59" s="526" t="s">
        <v>600</v>
      </c>
      <c r="F59" s="635"/>
      <c r="G59" s="635"/>
      <c r="H59" s="635"/>
      <c r="I59" s="635"/>
      <c r="L59" s="531"/>
      <c r="Q59" s="526">
        <v>39</v>
      </c>
      <c r="R59" s="526">
        <f t="shared" si="3"/>
        <v>1629.2996706339584</v>
      </c>
      <c r="T59" s="543">
        <f t="shared" si="1"/>
        <v>68801.749787450943</v>
      </c>
    </row>
    <row r="60" spans="1:20" ht="21.75" customHeight="1" x14ac:dyDescent="0.35">
      <c r="A60" s="526">
        <v>5</v>
      </c>
      <c r="B60" s="526" t="s">
        <v>601</v>
      </c>
      <c r="F60" s="634">
        <f>IFERROR(F58/F59,0)</f>
        <v>0</v>
      </c>
      <c r="G60" s="634"/>
      <c r="H60" s="634"/>
      <c r="I60" s="634"/>
      <c r="J60" s="526" t="s">
        <v>602</v>
      </c>
      <c r="L60" s="531"/>
      <c r="Q60" s="526">
        <v>40</v>
      </c>
      <c r="R60" s="526">
        <f t="shared" si="3"/>
        <v>1629.2996706339584</v>
      </c>
      <c r="T60" s="543">
        <f t="shared" si="1"/>
        <v>70900.589787805467</v>
      </c>
    </row>
    <row r="61" spans="1:20" ht="20.25" customHeight="1" x14ac:dyDescent="0.35">
      <c r="L61" s="531"/>
      <c r="Q61" s="526">
        <v>41</v>
      </c>
      <c r="R61" s="526">
        <f t="shared" si="3"/>
        <v>1629.2996706339584</v>
      </c>
      <c r="T61" s="543">
        <f t="shared" si="1"/>
        <v>73013.422054829018</v>
      </c>
    </row>
    <row r="62" spans="1:20" ht="45" customHeight="1" x14ac:dyDescent="0.4">
      <c r="B62" s="555" t="s">
        <v>603</v>
      </c>
      <c r="L62" s="531"/>
      <c r="Q62" s="526">
        <v>42</v>
      </c>
      <c r="R62" s="526">
        <f t="shared" si="3"/>
        <v>1629.2996706339584</v>
      </c>
      <c r="T62" s="543">
        <f t="shared" si="1"/>
        <v>75140.339870299387</v>
      </c>
    </row>
    <row r="63" spans="1:20" ht="23.25" customHeight="1" x14ac:dyDescent="0.35">
      <c r="B63" s="558" t="s">
        <v>604</v>
      </c>
      <c r="C63" s="558"/>
      <c r="D63" s="620" t="s">
        <v>605</v>
      </c>
      <c r="E63" s="620"/>
      <c r="F63" s="620"/>
      <c r="G63" s="558"/>
      <c r="H63" s="620" t="s">
        <v>606</v>
      </c>
      <c r="I63" s="620"/>
      <c r="J63" s="620"/>
      <c r="L63" s="531"/>
      <c r="Q63" s="526">
        <v>43</v>
      </c>
      <c r="R63" s="526">
        <f t="shared" si="3"/>
        <v>1629.2996706339584</v>
      </c>
      <c r="T63" s="543">
        <f t="shared" si="1"/>
        <v>77281.437137872897</v>
      </c>
    </row>
    <row r="64" spans="1:20" ht="20.25" customHeight="1" x14ac:dyDescent="0.35">
      <c r="B64" s="559" t="s">
        <v>607</v>
      </c>
      <c r="D64" s="631" t="s">
        <v>608</v>
      </c>
      <c r="E64" s="631"/>
      <c r="F64" s="631"/>
      <c r="H64" s="632" t="s">
        <v>609</v>
      </c>
      <c r="I64" s="632"/>
      <c r="J64" s="632"/>
      <c r="L64" s="531"/>
      <c r="Q64" s="526">
        <v>44</v>
      </c>
      <c r="R64" s="526">
        <f t="shared" si="3"/>
        <v>1629.2996706339584</v>
      </c>
      <c r="T64" s="543">
        <f t="shared" si="1"/>
        <v>79436.808387230238</v>
      </c>
    </row>
    <row r="65" spans="2:20" x14ac:dyDescent="0.35">
      <c r="B65" s="559" t="s">
        <v>610</v>
      </c>
      <c r="D65" s="628" t="s">
        <v>611</v>
      </c>
      <c r="E65" s="628"/>
      <c r="F65" s="628"/>
      <c r="H65" s="628" t="s">
        <v>612</v>
      </c>
      <c r="I65" s="628"/>
      <c r="J65" s="628"/>
      <c r="L65" s="531"/>
      <c r="Q65" s="526">
        <v>45</v>
      </c>
      <c r="R65" s="526">
        <f t="shared" si="3"/>
        <v>1629.2996706339584</v>
      </c>
      <c r="T65" s="543">
        <f t="shared" si="1"/>
        <v>81606.548778249955</v>
      </c>
    </row>
    <row r="66" spans="2:20" x14ac:dyDescent="0.35">
      <c r="B66" s="559" t="s">
        <v>613</v>
      </c>
      <c r="D66" s="628" t="s">
        <v>614</v>
      </c>
      <c r="E66" s="628"/>
      <c r="F66" s="628"/>
      <c r="H66" s="628" t="s">
        <v>615</v>
      </c>
      <c r="I66" s="628"/>
      <c r="J66" s="628"/>
      <c r="L66" s="531"/>
      <c r="Q66" s="526">
        <v>46</v>
      </c>
      <c r="R66" s="526">
        <f t="shared" si="3"/>
        <v>1629.2996706339584</v>
      </c>
      <c r="T66" s="543">
        <f t="shared" si="1"/>
        <v>83790.754105209809</v>
      </c>
    </row>
    <row r="67" spans="2:20" x14ac:dyDescent="0.35">
      <c r="L67" s="531"/>
      <c r="Q67" s="526">
        <v>47</v>
      </c>
      <c r="R67" s="526">
        <f t="shared" si="3"/>
        <v>1629.2996706339584</v>
      </c>
      <c r="T67" s="543">
        <f t="shared" si="1"/>
        <v>85989.520801016057</v>
      </c>
    </row>
    <row r="68" spans="2:20" x14ac:dyDescent="0.35">
      <c r="B68" s="526" t="s">
        <v>616</v>
      </c>
      <c r="Q68" s="526">
        <v>48</v>
      </c>
      <c r="R68" s="526">
        <f t="shared" si="3"/>
        <v>1629.2996706339584</v>
      </c>
      <c r="T68" s="543">
        <f t="shared" si="1"/>
        <v>88202.945941461017</v>
      </c>
    </row>
    <row r="69" spans="2:20" x14ac:dyDescent="0.35">
      <c r="C69" s="526" t="s">
        <v>617</v>
      </c>
      <c r="Q69" s="526">
        <v>49</v>
      </c>
      <c r="R69" s="526">
        <f t="shared" si="2"/>
        <v>1678.1786607529773</v>
      </c>
      <c r="T69" s="543">
        <f t="shared" si="1"/>
        <v>90480.332099562089</v>
      </c>
    </row>
    <row r="70" spans="2:20" x14ac:dyDescent="0.35">
      <c r="C70" s="526" t="s">
        <v>618</v>
      </c>
      <c r="Q70" s="526">
        <v>50</v>
      </c>
      <c r="R70" s="526">
        <f t="shared" si="2"/>
        <v>1678.1786607529773</v>
      </c>
      <c r="T70" s="543">
        <f t="shared" si="1"/>
        <v>92772.900832050495</v>
      </c>
    </row>
    <row r="71" spans="2:20" x14ac:dyDescent="0.35">
      <c r="C71" s="526" t="s">
        <v>619</v>
      </c>
      <c r="Q71" s="526">
        <v>51</v>
      </c>
      <c r="R71" s="526">
        <f t="shared" si="2"/>
        <v>1678.1786607529773</v>
      </c>
      <c r="T71" s="543">
        <f t="shared" si="1"/>
        <v>95080.753356088826</v>
      </c>
    </row>
    <row r="72" spans="2:20" x14ac:dyDescent="0.35">
      <c r="C72" s="526" t="s">
        <v>620</v>
      </c>
      <c r="Q72" s="526">
        <v>52</v>
      </c>
      <c r="R72" s="526">
        <f t="shared" si="2"/>
        <v>1678.1786607529773</v>
      </c>
      <c r="T72" s="543">
        <f t="shared" si="1"/>
        <v>97403.991563620744</v>
      </c>
    </row>
    <row r="73" spans="2:20" x14ac:dyDescent="0.35">
      <c r="Q73" s="526">
        <v>53</v>
      </c>
      <c r="R73" s="526">
        <f t="shared" si="2"/>
        <v>1678.1786607529773</v>
      </c>
      <c r="T73" s="543">
        <f t="shared" si="1"/>
        <v>99742.718025869544</v>
      </c>
    </row>
    <row r="74" spans="2:20" ht="36" customHeight="1" x14ac:dyDescent="0.4">
      <c r="B74" s="555" t="s">
        <v>621</v>
      </c>
      <c r="Q74" s="526">
        <v>54</v>
      </c>
      <c r="R74" s="526">
        <f t="shared" si="2"/>
        <v>1678.1786607529773</v>
      </c>
      <c r="T74" s="543">
        <f t="shared" si="1"/>
        <v>102097.03599786667</v>
      </c>
    </row>
    <row r="75" spans="2:20" ht="23.25" customHeight="1" x14ac:dyDescent="0.35">
      <c r="B75" s="558" t="s">
        <v>622</v>
      </c>
      <c r="C75" s="560">
        <v>25000</v>
      </c>
      <c r="D75" s="560">
        <v>50000</v>
      </c>
      <c r="E75" s="558"/>
      <c r="F75" s="625">
        <v>100000</v>
      </c>
      <c r="G75" s="625"/>
      <c r="H75" s="625"/>
      <c r="I75" s="561"/>
      <c r="J75" s="561"/>
      <c r="Q75" s="526">
        <v>55</v>
      </c>
      <c r="R75" s="526">
        <f t="shared" si="2"/>
        <v>1678.1786607529773</v>
      </c>
      <c r="T75" s="543">
        <f t="shared" si="1"/>
        <v>104467.04942301044</v>
      </c>
    </row>
    <row r="76" spans="2:20" ht="21" customHeight="1" x14ac:dyDescent="0.35">
      <c r="B76" s="559" t="s">
        <v>623</v>
      </c>
      <c r="C76" s="562" t="s">
        <v>624</v>
      </c>
      <c r="D76" s="562" t="s">
        <v>625</v>
      </c>
      <c r="F76" s="626" t="s">
        <v>626</v>
      </c>
      <c r="G76" s="626"/>
      <c r="H76" s="626"/>
      <c r="I76" s="563"/>
      <c r="J76" s="563"/>
      <c r="Q76" s="526">
        <v>56</v>
      </c>
      <c r="R76" s="526">
        <f t="shared" si="2"/>
        <v>1678.1786607529773</v>
      </c>
      <c r="T76" s="543">
        <f t="shared" si="1"/>
        <v>106852.86293765517</v>
      </c>
    </row>
    <row r="77" spans="2:20" x14ac:dyDescent="0.35">
      <c r="B77" s="559" t="s">
        <v>627</v>
      </c>
      <c r="C77" s="562" t="s">
        <v>628</v>
      </c>
      <c r="D77" s="562" t="s">
        <v>629</v>
      </c>
      <c r="F77" s="627" t="s">
        <v>614</v>
      </c>
      <c r="G77" s="627"/>
      <c r="H77" s="627"/>
      <c r="I77" s="564"/>
      <c r="J77" s="564"/>
      <c r="Q77" s="526">
        <v>57</v>
      </c>
      <c r="R77" s="526">
        <f t="shared" si="2"/>
        <v>1678.1786607529773</v>
      </c>
      <c r="T77" s="543">
        <f t="shared" si="1"/>
        <v>109254.58187573086</v>
      </c>
    </row>
    <row r="78" spans="2:20" x14ac:dyDescent="0.35">
      <c r="B78" s="559" t="s">
        <v>630</v>
      </c>
      <c r="C78" s="562" t="s">
        <v>631</v>
      </c>
      <c r="D78" s="562" t="s">
        <v>632</v>
      </c>
      <c r="F78" s="628" t="s">
        <v>624</v>
      </c>
      <c r="G78" s="628"/>
      <c r="H78" s="628"/>
      <c r="I78" s="565"/>
      <c r="J78" s="565"/>
      <c r="Q78" s="526">
        <v>58</v>
      </c>
      <c r="R78" s="526">
        <f t="shared" si="2"/>
        <v>1678.1786607529773</v>
      </c>
      <c r="T78" s="543">
        <f t="shared" si="1"/>
        <v>111672.31227339372</v>
      </c>
    </row>
    <row r="79" spans="2:20" x14ac:dyDescent="0.35">
      <c r="Q79" s="526">
        <v>59</v>
      </c>
      <c r="R79" s="526">
        <f t="shared" si="2"/>
        <v>1678.1786607529773</v>
      </c>
      <c r="T79" s="543">
        <f t="shared" si="1"/>
        <v>114106.16087370767</v>
      </c>
    </row>
    <row r="80" spans="2:20" x14ac:dyDescent="0.35">
      <c r="B80" s="526" t="s">
        <v>616</v>
      </c>
      <c r="Q80" s="526">
        <v>60</v>
      </c>
      <c r="R80" s="526">
        <f t="shared" si="2"/>
        <v>1678.1786607529773</v>
      </c>
      <c r="T80" s="543">
        <f t="shared" si="1"/>
        <v>116556.23513135705</v>
      </c>
    </row>
    <row r="81" spans="2:20" x14ac:dyDescent="0.35">
      <c r="C81" s="526" t="s">
        <v>633</v>
      </c>
      <c r="Q81" s="526">
        <v>61</v>
      </c>
      <c r="R81" s="526">
        <f t="shared" si="2"/>
        <v>1728.5240205755667</v>
      </c>
      <c r="T81" s="543">
        <f t="shared" si="1"/>
        <v>119073.3242129455</v>
      </c>
    </row>
    <row r="82" spans="2:20" x14ac:dyDescent="0.35">
      <c r="C82" s="526" t="s">
        <v>634</v>
      </c>
      <c r="Q82" s="526">
        <v>62</v>
      </c>
      <c r="R82" s="526">
        <f t="shared" si="2"/>
        <v>1728.5240205755667</v>
      </c>
      <c r="T82" s="543">
        <f t="shared" si="1"/>
        <v>121607.1938884112</v>
      </c>
    </row>
    <row r="83" spans="2:20" x14ac:dyDescent="0.35">
      <c r="C83" s="526" t="s">
        <v>635</v>
      </c>
      <c r="Q83" s="526">
        <v>63</v>
      </c>
      <c r="R83" s="526">
        <f t="shared" si="2"/>
        <v>1728.5240205755667</v>
      </c>
      <c r="T83" s="543">
        <f t="shared" si="1"/>
        <v>124157.95602838001</v>
      </c>
    </row>
    <row r="84" spans="2:20" x14ac:dyDescent="0.35">
      <c r="Q84" s="526">
        <v>64</v>
      </c>
      <c r="R84" s="526">
        <f t="shared" si="2"/>
        <v>1728.5240205755667</v>
      </c>
      <c r="T84" s="543">
        <f t="shared" si="1"/>
        <v>126725.72324928195</v>
      </c>
    </row>
    <row r="85" spans="2:20" x14ac:dyDescent="0.35">
      <c r="Q85" s="526">
        <v>65</v>
      </c>
      <c r="R85" s="526">
        <f t="shared" si="2"/>
        <v>1728.5240205755667</v>
      </c>
      <c r="T85" s="543">
        <f t="shared" si="1"/>
        <v>129310.60891832323</v>
      </c>
    </row>
    <row r="86" spans="2:20" ht="18" x14ac:dyDescent="0.4">
      <c r="B86" s="555" t="s">
        <v>636</v>
      </c>
      <c r="Q86" s="526">
        <v>66</v>
      </c>
      <c r="R86" s="526">
        <f t="shared" si="2"/>
        <v>1728.5240205755667</v>
      </c>
      <c r="T86" s="543">
        <f t="shared" ref="T86:T149" si="4">(T85+R86)*(1+$T$19)</f>
        <v>131912.72715849144</v>
      </c>
    </row>
    <row r="87" spans="2:20" ht="15.75" customHeight="1" x14ac:dyDescent="0.35">
      <c r="Q87" s="526">
        <v>67</v>
      </c>
      <c r="R87" s="526">
        <f t="shared" si="2"/>
        <v>1728.5240205755667</v>
      </c>
      <c r="T87" s="543">
        <f t="shared" si="4"/>
        <v>134532.19285359411</v>
      </c>
    </row>
    <row r="88" spans="2:20" ht="19.5" customHeight="1" x14ac:dyDescent="0.35">
      <c r="C88" s="526" t="s">
        <v>637</v>
      </c>
      <c r="F88" s="619">
        <f>D12</f>
        <v>2000.201</v>
      </c>
      <c r="G88" s="620"/>
      <c r="H88" s="620"/>
      <c r="T88" s="543"/>
    </row>
    <row r="89" spans="2:20" ht="19.5" customHeight="1" thickBot="1" x14ac:dyDescent="0.4">
      <c r="C89" s="566" t="s">
        <v>638</v>
      </c>
      <c r="D89" s="527"/>
      <c r="E89" s="567" t="s">
        <v>401</v>
      </c>
      <c r="F89" s="629">
        <f>D49</f>
        <v>4708</v>
      </c>
      <c r="G89" s="630"/>
      <c r="H89" s="630"/>
      <c r="T89" s="543"/>
    </row>
    <row r="90" spans="2:20" ht="19.5" customHeight="1" x14ac:dyDescent="0.35">
      <c r="C90" s="568" t="s">
        <v>639</v>
      </c>
      <c r="F90" s="619">
        <f>F88+F89</f>
        <v>6708.201</v>
      </c>
      <c r="G90" s="620"/>
      <c r="H90" s="620"/>
      <c r="Q90" s="526">
        <v>68</v>
      </c>
      <c r="R90" s="526">
        <f t="shared" ref="R90" si="5">R76*(1+$R$19)</f>
        <v>1728.5240205755667</v>
      </c>
      <c r="T90" s="543">
        <f>(T87+R90)*(1+$T$19)</f>
        <v>137169.1216533308</v>
      </c>
    </row>
    <row r="91" spans="2:20" ht="19.5" customHeight="1" x14ac:dyDescent="0.35">
      <c r="C91" s="568" t="s">
        <v>640</v>
      </c>
      <c r="F91" s="621"/>
      <c r="G91" s="621"/>
      <c r="H91" s="621"/>
      <c r="T91" s="543"/>
    </row>
    <row r="92" spans="2:20" ht="19.5" customHeight="1" thickBot="1" x14ac:dyDescent="0.4">
      <c r="C92" s="527" t="s">
        <v>641</v>
      </c>
      <c r="D92" s="527"/>
      <c r="E92" s="569" t="s">
        <v>642</v>
      </c>
      <c r="F92" s="622"/>
      <c r="G92" s="623"/>
      <c r="H92" s="623"/>
      <c r="Q92" s="526">
        <v>69</v>
      </c>
      <c r="R92" s="526">
        <f t="shared" ref="R92:R102" si="6">R77*(1+$R$19)</f>
        <v>1728.5240205755667</v>
      </c>
      <c r="T92" s="543">
        <f>(T90+R92)*(1+$T$19)</f>
        <v>139823.62997839908</v>
      </c>
    </row>
    <row r="93" spans="2:20" ht="19.5" customHeight="1" x14ac:dyDescent="0.35">
      <c r="C93" s="568" t="s">
        <v>643</v>
      </c>
      <c r="E93" s="567" t="s">
        <v>417</v>
      </c>
      <c r="F93" s="624">
        <f>IFERROR(FV(F92,F91,,-F90),0)</f>
        <v>6708.201</v>
      </c>
      <c r="G93" s="624"/>
      <c r="H93" s="624"/>
      <c r="Q93" s="526">
        <v>70</v>
      </c>
      <c r="R93" s="526">
        <f t="shared" si="6"/>
        <v>1728.5240205755667</v>
      </c>
      <c r="T93" s="543">
        <f t="shared" si="4"/>
        <v>142495.83502563447</v>
      </c>
    </row>
    <row r="94" spans="2:20" x14ac:dyDescent="0.35">
      <c r="C94" s="569" t="s">
        <v>644</v>
      </c>
      <c r="Q94" s="526">
        <v>71</v>
      </c>
      <c r="R94" s="526">
        <f t="shared" si="6"/>
        <v>1728.5240205755667</v>
      </c>
      <c r="T94" s="543">
        <f t="shared" si="4"/>
        <v>145185.85477318475</v>
      </c>
    </row>
    <row r="95" spans="2:20" x14ac:dyDescent="0.35">
      <c r="Q95" s="526">
        <v>72</v>
      </c>
      <c r="R95" s="526">
        <f t="shared" si="6"/>
        <v>1728.5240205755667</v>
      </c>
      <c r="T95" s="543">
        <f t="shared" si="4"/>
        <v>147893.80798571871</v>
      </c>
    </row>
    <row r="96" spans="2:20" x14ac:dyDescent="0.35">
      <c r="Q96" s="526">
        <v>73</v>
      </c>
      <c r="R96" s="526">
        <f t="shared" si="6"/>
        <v>1780.3797411928338</v>
      </c>
      <c r="T96" s="543">
        <f t="shared" si="4"/>
        <v>150672.01564509093</v>
      </c>
    </row>
    <row r="97" spans="2:20" x14ac:dyDescent="0.35">
      <c r="B97" s="4" t="s">
        <v>650</v>
      </c>
      <c r="Q97" s="526">
        <v>74</v>
      </c>
      <c r="R97" s="526">
        <f t="shared" si="6"/>
        <v>1780.3797411928338</v>
      </c>
      <c r="T97" s="543">
        <f t="shared" si="4"/>
        <v>153468.74468885898</v>
      </c>
    </row>
    <row r="98" spans="2:20" x14ac:dyDescent="0.35">
      <c r="Q98" s="526">
        <v>75</v>
      </c>
      <c r="R98" s="526">
        <f t="shared" si="6"/>
        <v>1780.3797411928338</v>
      </c>
      <c r="T98" s="543">
        <f t="shared" si="4"/>
        <v>156284.11859291879</v>
      </c>
    </row>
    <row r="99" spans="2:20" x14ac:dyDescent="0.35">
      <c r="Q99" s="526">
        <v>76</v>
      </c>
      <c r="R99" s="526">
        <f t="shared" si="6"/>
        <v>1780.3797411928338</v>
      </c>
      <c r="T99" s="543">
        <f t="shared" si="4"/>
        <v>159118.26165633902</v>
      </c>
    </row>
    <row r="100" spans="2:20" x14ac:dyDescent="0.35">
      <c r="Q100" s="526">
        <v>77</v>
      </c>
      <c r="R100" s="526">
        <f t="shared" si="6"/>
        <v>1780.3797411928338</v>
      </c>
      <c r="T100" s="543">
        <f t="shared" si="4"/>
        <v>161971.29900684871</v>
      </c>
    </row>
    <row r="101" spans="2:20" x14ac:dyDescent="0.35">
      <c r="Q101" s="526">
        <v>78</v>
      </c>
      <c r="R101" s="526">
        <f t="shared" si="6"/>
        <v>1780.3797411928338</v>
      </c>
      <c r="T101" s="543">
        <f t="shared" si="4"/>
        <v>164843.35660636181</v>
      </c>
    </row>
    <row r="102" spans="2:20" x14ac:dyDescent="0.35">
      <c r="Q102" s="526">
        <v>79</v>
      </c>
      <c r="R102" s="526">
        <f t="shared" si="6"/>
        <v>1780.3797411928338</v>
      </c>
      <c r="T102" s="543">
        <f t="shared" si="4"/>
        <v>167734.56125653832</v>
      </c>
    </row>
    <row r="103" spans="2:20" x14ac:dyDescent="0.35">
      <c r="Q103" s="526">
        <v>80</v>
      </c>
      <c r="R103" s="526">
        <f>R90*(1+$R$19)</f>
        <v>1780.3797411928338</v>
      </c>
      <c r="T103" s="543">
        <f t="shared" si="4"/>
        <v>170645.04060438267</v>
      </c>
    </row>
    <row r="104" spans="2:20" x14ac:dyDescent="0.35">
      <c r="Q104" s="526">
        <v>81</v>
      </c>
      <c r="R104" s="526">
        <f t="shared" ref="R104:R167" si="7">R92*(1+$R$19)</f>
        <v>1780.3797411928338</v>
      </c>
      <c r="T104" s="543">
        <f t="shared" si="4"/>
        <v>173574.92314787931</v>
      </c>
    </row>
    <row r="105" spans="2:20" x14ac:dyDescent="0.35">
      <c r="Q105" s="526">
        <v>82</v>
      </c>
      <c r="R105" s="526">
        <f t="shared" si="7"/>
        <v>1780.3797411928338</v>
      </c>
      <c r="T105" s="543">
        <f t="shared" si="4"/>
        <v>176524.33824166594</v>
      </c>
    </row>
    <row r="106" spans="2:20" x14ac:dyDescent="0.35">
      <c r="Q106" s="526">
        <v>83</v>
      </c>
      <c r="R106" s="526">
        <f t="shared" si="7"/>
        <v>1780.3797411928338</v>
      </c>
      <c r="T106" s="543">
        <f t="shared" si="4"/>
        <v>179493.41610274449</v>
      </c>
    </row>
    <row r="107" spans="2:20" x14ac:dyDescent="0.35">
      <c r="Q107" s="526">
        <v>84</v>
      </c>
      <c r="R107" s="526">
        <f t="shared" si="7"/>
        <v>1780.3797411928338</v>
      </c>
      <c r="T107" s="543">
        <f t="shared" si="4"/>
        <v>182482.28781623021</v>
      </c>
    </row>
    <row r="108" spans="2:20" x14ac:dyDescent="0.35">
      <c r="Q108" s="526">
        <v>85</v>
      </c>
      <c r="R108" s="526">
        <f t="shared" si="7"/>
        <v>1833.7911334286189</v>
      </c>
      <c r="T108" s="543">
        <f t="shared" si="4"/>
        <v>185544.85280932323</v>
      </c>
    </row>
    <row r="109" spans="2:20" x14ac:dyDescent="0.35">
      <c r="Q109" s="526">
        <v>86</v>
      </c>
      <c r="R109" s="526">
        <f t="shared" si="7"/>
        <v>1833.7911334286189</v>
      </c>
      <c r="T109" s="543">
        <f t="shared" si="4"/>
        <v>188627.8349023702</v>
      </c>
    </row>
    <row r="110" spans="2:20" x14ac:dyDescent="0.35">
      <c r="Q110" s="526">
        <v>87</v>
      </c>
      <c r="R110" s="526">
        <f t="shared" si="7"/>
        <v>1833.7911334286189</v>
      </c>
      <c r="T110" s="543">
        <f t="shared" si="4"/>
        <v>191731.37020937083</v>
      </c>
    </row>
    <row r="111" spans="2:20" x14ac:dyDescent="0.35">
      <c r="Q111" s="526">
        <v>88</v>
      </c>
      <c r="R111" s="526">
        <f t="shared" si="7"/>
        <v>1833.7911334286189</v>
      </c>
      <c r="T111" s="543">
        <f t="shared" si="4"/>
        <v>194855.59575175145</v>
      </c>
    </row>
    <row r="112" spans="2:20" x14ac:dyDescent="0.35">
      <c r="Q112" s="526">
        <v>89</v>
      </c>
      <c r="R112" s="526">
        <f t="shared" si="7"/>
        <v>1833.7911334286189</v>
      </c>
      <c r="T112" s="543">
        <f t="shared" si="4"/>
        <v>198000.6494644146</v>
      </c>
    </row>
    <row r="113" spans="17:20" x14ac:dyDescent="0.35">
      <c r="Q113" s="526">
        <v>90</v>
      </c>
      <c r="R113" s="526">
        <f t="shared" si="7"/>
        <v>1833.7911334286189</v>
      </c>
      <c r="T113" s="543">
        <f t="shared" si="4"/>
        <v>201166.67020182885</v>
      </c>
    </row>
    <row r="114" spans="17:20" x14ac:dyDescent="0.35">
      <c r="Q114" s="526">
        <v>91</v>
      </c>
      <c r="R114" s="526">
        <f t="shared" si="7"/>
        <v>1833.7911334286189</v>
      </c>
      <c r="T114" s="543">
        <f t="shared" si="4"/>
        <v>204353.79774415918</v>
      </c>
    </row>
    <row r="115" spans="17:20" x14ac:dyDescent="0.35">
      <c r="Q115" s="526">
        <v>92</v>
      </c>
      <c r="R115" s="526">
        <f t="shared" si="7"/>
        <v>1833.7911334286189</v>
      </c>
      <c r="T115" s="543">
        <f t="shared" si="4"/>
        <v>207562.17280343839</v>
      </c>
    </row>
    <row r="116" spans="17:20" x14ac:dyDescent="0.35">
      <c r="Q116" s="526">
        <v>93</v>
      </c>
      <c r="R116" s="526">
        <f t="shared" si="7"/>
        <v>1833.7911334286189</v>
      </c>
      <c r="T116" s="543">
        <f t="shared" si="4"/>
        <v>210791.93702977945</v>
      </c>
    </row>
    <row r="117" spans="17:20" x14ac:dyDescent="0.35">
      <c r="Q117" s="526">
        <v>94</v>
      </c>
      <c r="R117" s="526">
        <f t="shared" si="7"/>
        <v>1833.7911334286189</v>
      </c>
      <c r="T117" s="543">
        <f t="shared" si="4"/>
        <v>214043.23301762945</v>
      </c>
    </row>
    <row r="118" spans="17:20" x14ac:dyDescent="0.35">
      <c r="Q118" s="526">
        <v>95</v>
      </c>
      <c r="R118" s="526">
        <f t="shared" si="7"/>
        <v>1833.7911334286189</v>
      </c>
      <c r="T118" s="543">
        <f t="shared" si="4"/>
        <v>217316.20431206512</v>
      </c>
    </row>
    <row r="119" spans="17:20" x14ac:dyDescent="0.35">
      <c r="Q119" s="526">
        <v>96</v>
      </c>
      <c r="R119" s="526">
        <f t="shared" si="7"/>
        <v>1833.7911334286189</v>
      </c>
      <c r="T119" s="543">
        <f t="shared" si="4"/>
        <v>220610.99541513037</v>
      </c>
    </row>
    <row r="120" spans="17:20" x14ac:dyDescent="0.35">
      <c r="Q120" s="526">
        <v>97</v>
      </c>
      <c r="R120" s="526">
        <f t="shared" si="7"/>
        <v>1888.8048674314775</v>
      </c>
      <c r="T120" s="543">
        <f t="shared" si="4"/>
        <v>223983.13228444557</v>
      </c>
    </row>
    <row r="121" spans="17:20" x14ac:dyDescent="0.35">
      <c r="Q121" s="526">
        <v>98</v>
      </c>
      <c r="R121" s="526">
        <f t="shared" si="7"/>
        <v>1888.8048674314775</v>
      </c>
      <c r="T121" s="543">
        <f t="shared" si="4"/>
        <v>227377.75006622286</v>
      </c>
    </row>
    <row r="122" spans="17:20" x14ac:dyDescent="0.35">
      <c r="Q122" s="526">
        <v>99</v>
      </c>
      <c r="R122" s="526">
        <f t="shared" si="7"/>
        <v>1888.8048674314775</v>
      </c>
      <c r="T122" s="543">
        <f t="shared" si="4"/>
        <v>230794.998633212</v>
      </c>
    </row>
    <row r="123" spans="17:20" x14ac:dyDescent="0.35">
      <c r="Q123" s="526">
        <v>100</v>
      </c>
      <c r="R123" s="526">
        <f t="shared" si="7"/>
        <v>1888.8048674314775</v>
      </c>
      <c r="T123" s="543">
        <f t="shared" si="4"/>
        <v>234235.02885731441</v>
      </c>
    </row>
    <row r="124" spans="17:20" x14ac:dyDescent="0.35">
      <c r="Q124" s="526">
        <v>101</v>
      </c>
      <c r="R124" s="526">
        <f t="shared" si="7"/>
        <v>1888.8048674314775</v>
      </c>
      <c r="T124" s="543">
        <f t="shared" si="4"/>
        <v>237697.99261624416</v>
      </c>
    </row>
    <row r="125" spans="17:20" x14ac:dyDescent="0.35">
      <c r="Q125" s="526">
        <v>102</v>
      </c>
      <c r="R125" s="526">
        <f t="shared" si="7"/>
        <v>1888.8048674314775</v>
      </c>
      <c r="T125" s="543">
        <f t="shared" si="4"/>
        <v>241184.04280023344</v>
      </c>
    </row>
    <row r="126" spans="17:20" x14ac:dyDescent="0.35">
      <c r="Q126" s="526">
        <v>103</v>
      </c>
      <c r="R126" s="526">
        <f t="shared" si="7"/>
        <v>1888.8048674314775</v>
      </c>
      <c r="T126" s="543">
        <f t="shared" si="4"/>
        <v>244693.33331878265</v>
      </c>
    </row>
    <row r="127" spans="17:20" x14ac:dyDescent="0.35">
      <c r="Q127" s="526">
        <v>104</v>
      </c>
      <c r="R127" s="526">
        <f t="shared" si="7"/>
        <v>1888.8048674314775</v>
      </c>
      <c r="T127" s="543">
        <f t="shared" si="4"/>
        <v>248226.01910745553</v>
      </c>
    </row>
    <row r="128" spans="17:20" x14ac:dyDescent="0.35">
      <c r="Q128" s="526">
        <v>105</v>
      </c>
      <c r="R128" s="526">
        <f t="shared" si="7"/>
        <v>1888.8048674314775</v>
      </c>
      <c r="T128" s="543">
        <f t="shared" si="4"/>
        <v>251782.25613471956</v>
      </c>
    </row>
    <row r="129" spans="17:20" x14ac:dyDescent="0.35">
      <c r="Q129" s="526">
        <v>106</v>
      </c>
      <c r="R129" s="526">
        <f t="shared" si="7"/>
        <v>1888.8048674314775</v>
      </c>
      <c r="T129" s="543">
        <f t="shared" si="4"/>
        <v>255362.20140883201</v>
      </c>
    </row>
    <row r="130" spans="17:20" x14ac:dyDescent="0.35">
      <c r="Q130" s="526">
        <v>107</v>
      </c>
      <c r="R130" s="526">
        <f t="shared" si="7"/>
        <v>1888.8048674314775</v>
      </c>
      <c r="T130" s="543">
        <f t="shared" si="4"/>
        <v>258966.01298477189</v>
      </c>
    </row>
    <row r="131" spans="17:20" x14ac:dyDescent="0.35">
      <c r="Q131" s="526">
        <v>108</v>
      </c>
      <c r="R131" s="526">
        <f t="shared" si="7"/>
        <v>1888.8048674314775</v>
      </c>
      <c r="T131" s="543">
        <f t="shared" si="4"/>
        <v>262593.84997121803</v>
      </c>
    </row>
    <row r="132" spans="17:20" x14ac:dyDescent="0.35">
      <c r="Q132" s="526">
        <v>109</v>
      </c>
      <c r="R132" s="526">
        <f t="shared" si="7"/>
        <v>1945.4690134544219</v>
      </c>
      <c r="T132" s="543">
        <f t="shared" si="4"/>
        <v>266302.91444457026</v>
      </c>
    </row>
    <row r="133" spans="17:20" x14ac:dyDescent="0.35">
      <c r="Q133" s="526">
        <v>110</v>
      </c>
      <c r="R133" s="526">
        <f t="shared" si="7"/>
        <v>1945.4690134544219</v>
      </c>
      <c r="T133" s="543">
        <f t="shared" si="4"/>
        <v>270036.70601441152</v>
      </c>
    </row>
    <row r="134" spans="17:20" x14ac:dyDescent="0.35">
      <c r="Q134" s="526">
        <v>111</v>
      </c>
      <c r="R134" s="526">
        <f t="shared" si="7"/>
        <v>1945.4690134544219</v>
      </c>
      <c r="T134" s="543">
        <f t="shared" si="4"/>
        <v>273795.38952805172</v>
      </c>
    </row>
    <row r="135" spans="17:20" x14ac:dyDescent="0.35">
      <c r="Q135" s="526">
        <v>112</v>
      </c>
      <c r="R135" s="526">
        <f t="shared" si="7"/>
        <v>1945.4690134544219</v>
      </c>
      <c r="T135" s="543">
        <f t="shared" si="4"/>
        <v>277579.13093178289</v>
      </c>
    </row>
    <row r="136" spans="17:20" x14ac:dyDescent="0.35">
      <c r="Q136" s="526">
        <v>113</v>
      </c>
      <c r="R136" s="526">
        <f t="shared" si="7"/>
        <v>1945.4690134544219</v>
      </c>
      <c r="T136" s="543">
        <f t="shared" si="4"/>
        <v>281388.09727820556</v>
      </c>
    </row>
    <row r="137" spans="17:20" x14ac:dyDescent="0.35">
      <c r="Q137" s="526">
        <v>114</v>
      </c>
      <c r="R137" s="526">
        <f t="shared" si="7"/>
        <v>1945.4690134544219</v>
      </c>
      <c r="T137" s="543">
        <f t="shared" si="4"/>
        <v>285222.45673360437</v>
      </c>
    </row>
    <row r="138" spans="17:20" x14ac:dyDescent="0.35">
      <c r="Q138" s="526">
        <v>115</v>
      </c>
      <c r="R138" s="526">
        <f t="shared" si="7"/>
        <v>1945.4690134544219</v>
      </c>
      <c r="T138" s="543">
        <f t="shared" si="4"/>
        <v>289082.37858537253</v>
      </c>
    </row>
    <row r="139" spans="17:20" x14ac:dyDescent="0.35">
      <c r="Q139" s="526">
        <v>116</v>
      </c>
      <c r="R139" s="526">
        <f t="shared" si="7"/>
        <v>1945.4690134544219</v>
      </c>
      <c r="T139" s="543">
        <f t="shared" si="4"/>
        <v>292968.03324948583</v>
      </c>
    </row>
    <row r="140" spans="17:20" x14ac:dyDescent="0.35">
      <c r="Q140" s="526">
        <v>117</v>
      </c>
      <c r="R140" s="526">
        <f t="shared" si="7"/>
        <v>1945.4690134544219</v>
      </c>
      <c r="T140" s="543">
        <f t="shared" si="4"/>
        <v>296879.59227802651</v>
      </c>
    </row>
    <row r="141" spans="17:20" x14ac:dyDescent="0.35">
      <c r="Q141" s="526">
        <v>118</v>
      </c>
      <c r="R141" s="526">
        <f t="shared" si="7"/>
        <v>1945.4690134544219</v>
      </c>
      <c r="T141" s="543">
        <f t="shared" si="4"/>
        <v>300817.22836675745</v>
      </c>
    </row>
    <row r="142" spans="17:20" x14ac:dyDescent="0.35">
      <c r="Q142" s="526">
        <v>119</v>
      </c>
      <c r="R142" s="526">
        <f t="shared" si="7"/>
        <v>1945.4690134544219</v>
      </c>
      <c r="T142" s="543">
        <f t="shared" si="4"/>
        <v>304781.11536274664</v>
      </c>
    </row>
    <row r="143" spans="17:20" x14ac:dyDescent="0.35">
      <c r="Q143" s="526">
        <v>120</v>
      </c>
      <c r="R143" s="526">
        <f t="shared" si="7"/>
        <v>1945.4690134544219</v>
      </c>
      <c r="T143" s="543">
        <f t="shared" si="4"/>
        <v>308771.42827204242</v>
      </c>
    </row>
    <row r="144" spans="17:20" x14ac:dyDescent="0.35">
      <c r="Q144" s="526">
        <v>121</v>
      </c>
      <c r="R144" s="526">
        <f t="shared" si="7"/>
        <v>2003.8330838580546</v>
      </c>
      <c r="T144" s="543">
        <f t="shared" si="4"/>
        <v>312847.09643160651</v>
      </c>
    </row>
    <row r="145" spans="17:20" x14ac:dyDescent="0.35">
      <c r="Q145" s="526">
        <v>122</v>
      </c>
      <c r="R145" s="526">
        <f t="shared" si="7"/>
        <v>2003.8330838580546</v>
      </c>
      <c r="T145" s="543">
        <f t="shared" si="4"/>
        <v>316949.93571223435</v>
      </c>
    </row>
    <row r="146" spans="17:20" x14ac:dyDescent="0.35">
      <c r="Q146" s="526">
        <v>123</v>
      </c>
      <c r="R146" s="526">
        <f t="shared" si="7"/>
        <v>2003.8330838580546</v>
      </c>
      <c r="T146" s="543">
        <f t="shared" si="4"/>
        <v>321080.127254733</v>
      </c>
    </row>
    <row r="147" spans="17:20" x14ac:dyDescent="0.35">
      <c r="Q147" s="526">
        <v>124</v>
      </c>
      <c r="R147" s="526">
        <f t="shared" si="7"/>
        <v>2003.8330838580546</v>
      </c>
      <c r="T147" s="543">
        <f t="shared" si="4"/>
        <v>325237.85340751498</v>
      </c>
    </row>
    <row r="148" spans="17:20" x14ac:dyDescent="0.35">
      <c r="Q148" s="526">
        <v>125</v>
      </c>
      <c r="R148" s="526">
        <f t="shared" si="7"/>
        <v>2003.8330838580546</v>
      </c>
      <c r="T148" s="543">
        <f t="shared" si="4"/>
        <v>329423.29773464886</v>
      </c>
    </row>
    <row r="149" spans="17:20" x14ac:dyDescent="0.35">
      <c r="Q149" s="526">
        <v>126</v>
      </c>
      <c r="R149" s="526">
        <f t="shared" si="7"/>
        <v>2003.8330838580546</v>
      </c>
      <c r="T149" s="543">
        <f t="shared" si="4"/>
        <v>333636.64502396365</v>
      </c>
    </row>
    <row r="150" spans="17:20" x14ac:dyDescent="0.35">
      <c r="Q150" s="526">
        <v>127</v>
      </c>
      <c r="R150" s="526">
        <f t="shared" si="7"/>
        <v>2003.8330838580546</v>
      </c>
      <c r="T150" s="543">
        <f t="shared" ref="T150:T213" si="8">(T149+R150)*(1+$T$19)</f>
        <v>337878.0812952072</v>
      </c>
    </row>
    <row r="151" spans="17:20" x14ac:dyDescent="0.35">
      <c r="Q151" s="526">
        <v>128</v>
      </c>
      <c r="R151" s="526">
        <f t="shared" si="7"/>
        <v>2003.8330838580546</v>
      </c>
      <c r="T151" s="543">
        <f t="shared" si="8"/>
        <v>342147.79380825901</v>
      </c>
    </row>
    <row r="152" spans="17:20" x14ac:dyDescent="0.35">
      <c r="Q152" s="526">
        <v>129</v>
      </c>
      <c r="R152" s="526">
        <f t="shared" si="7"/>
        <v>2003.8330838580546</v>
      </c>
      <c r="T152" s="543">
        <f t="shared" si="8"/>
        <v>346445.97107139783</v>
      </c>
    </row>
    <row r="153" spans="17:20" x14ac:dyDescent="0.35">
      <c r="Q153" s="526">
        <v>130</v>
      </c>
      <c r="R153" s="526">
        <f t="shared" si="7"/>
        <v>2003.8330838580546</v>
      </c>
      <c r="T153" s="543">
        <f t="shared" si="8"/>
        <v>350772.80284962425</v>
      </c>
    </row>
    <row r="154" spans="17:20" x14ac:dyDescent="0.35">
      <c r="Q154" s="526">
        <v>131</v>
      </c>
      <c r="R154" s="526">
        <f t="shared" si="7"/>
        <v>2003.8330838580546</v>
      </c>
      <c r="T154" s="543">
        <f t="shared" si="8"/>
        <v>355128.48017303884</v>
      </c>
    </row>
    <row r="155" spans="17:20" x14ac:dyDescent="0.35">
      <c r="Q155" s="526">
        <v>132</v>
      </c>
      <c r="R155" s="526">
        <f t="shared" si="7"/>
        <v>2003.8330838580546</v>
      </c>
      <c r="T155" s="543">
        <f t="shared" si="8"/>
        <v>359513.19534527621</v>
      </c>
    </row>
    <row r="156" spans="17:20" x14ac:dyDescent="0.35">
      <c r="Q156" s="526">
        <v>133</v>
      </c>
      <c r="R156" s="526">
        <f t="shared" si="7"/>
        <v>2063.9480763737961</v>
      </c>
      <c r="T156" s="543">
        <f t="shared" si="8"/>
        <v>363987.65771112766</v>
      </c>
    </row>
    <row r="157" spans="17:20" x14ac:dyDescent="0.35">
      <c r="Q157" s="526">
        <v>134</v>
      </c>
      <c r="R157" s="526">
        <f t="shared" si="7"/>
        <v>2063.9480763737961</v>
      </c>
      <c r="T157" s="543">
        <f t="shared" si="8"/>
        <v>368491.94982608478</v>
      </c>
    </row>
    <row r="158" spans="17:20" x14ac:dyDescent="0.35">
      <c r="Q158" s="526">
        <v>135</v>
      </c>
      <c r="R158" s="526">
        <f t="shared" si="7"/>
        <v>2063.9480763737961</v>
      </c>
      <c r="T158" s="543">
        <f t="shared" si="8"/>
        <v>373026.27055514161</v>
      </c>
    </row>
    <row r="159" spans="17:20" x14ac:dyDescent="0.35">
      <c r="Q159" s="526">
        <v>136</v>
      </c>
      <c r="R159" s="526">
        <f t="shared" si="7"/>
        <v>2063.9480763737961</v>
      </c>
      <c r="T159" s="543">
        <f t="shared" si="8"/>
        <v>377590.82008905883</v>
      </c>
    </row>
    <row r="160" spans="17:20" x14ac:dyDescent="0.35">
      <c r="Q160" s="526">
        <v>137</v>
      </c>
      <c r="R160" s="526">
        <f t="shared" si="7"/>
        <v>2063.9480763737961</v>
      </c>
      <c r="T160" s="543">
        <f t="shared" si="8"/>
        <v>382185.79995320213</v>
      </c>
    </row>
    <row r="161" spans="17:20" x14ac:dyDescent="0.35">
      <c r="Q161" s="526">
        <v>138</v>
      </c>
      <c r="R161" s="526">
        <f t="shared" si="7"/>
        <v>2063.9480763737961</v>
      </c>
      <c r="T161" s="543">
        <f t="shared" si="8"/>
        <v>386811.41301643971</v>
      </c>
    </row>
    <row r="162" spans="17:20" x14ac:dyDescent="0.35">
      <c r="Q162" s="526">
        <v>139</v>
      </c>
      <c r="R162" s="526">
        <f t="shared" si="7"/>
        <v>2063.9480763737961</v>
      </c>
      <c r="T162" s="543">
        <f t="shared" si="8"/>
        <v>391467.86350009887</v>
      </c>
    </row>
    <row r="163" spans="17:20" x14ac:dyDescent="0.35">
      <c r="Q163" s="526">
        <v>140</v>
      </c>
      <c r="R163" s="526">
        <f t="shared" si="7"/>
        <v>2063.9480763737961</v>
      </c>
      <c r="T163" s="543">
        <f t="shared" si="8"/>
        <v>396155.35698698246</v>
      </c>
    </row>
    <row r="164" spans="17:20" x14ac:dyDescent="0.35">
      <c r="Q164" s="526">
        <v>141</v>
      </c>
      <c r="R164" s="526">
        <f t="shared" si="7"/>
        <v>2063.9480763737961</v>
      </c>
      <c r="T164" s="543">
        <f t="shared" si="8"/>
        <v>400874.10043044528</v>
      </c>
    </row>
    <row r="165" spans="17:20" x14ac:dyDescent="0.35">
      <c r="Q165" s="526">
        <v>142</v>
      </c>
      <c r="R165" s="526">
        <f t="shared" si="7"/>
        <v>2063.9480763737961</v>
      </c>
      <c r="T165" s="543">
        <f t="shared" si="8"/>
        <v>405624.30216353119</v>
      </c>
    </row>
    <row r="166" spans="17:20" x14ac:dyDescent="0.35">
      <c r="Q166" s="526">
        <v>143</v>
      </c>
      <c r="R166" s="526">
        <f t="shared" si="7"/>
        <v>2063.9480763737961</v>
      </c>
      <c r="T166" s="543">
        <f t="shared" si="8"/>
        <v>410406.17190817097</v>
      </c>
    </row>
    <row r="167" spans="17:20" x14ac:dyDescent="0.35">
      <c r="Q167" s="526">
        <v>144</v>
      </c>
      <c r="R167" s="526">
        <f t="shared" si="7"/>
        <v>2063.9480763737961</v>
      </c>
      <c r="T167" s="543">
        <f t="shared" si="8"/>
        <v>415219.9207844417</v>
      </c>
    </row>
    <row r="168" spans="17:20" x14ac:dyDescent="0.35">
      <c r="Q168" s="526">
        <v>145</v>
      </c>
      <c r="R168" s="526">
        <f t="shared" ref="R168:R231" si="9">R156*(1+$R$19)</f>
        <v>2125.8665186650101</v>
      </c>
      <c r="T168" s="543">
        <f t="shared" si="8"/>
        <v>420128.09255179402</v>
      </c>
    </row>
    <row r="169" spans="17:20" x14ac:dyDescent="0.35">
      <c r="Q169" s="526">
        <v>146</v>
      </c>
      <c r="R169" s="526">
        <f t="shared" si="9"/>
        <v>2125.8665186650101</v>
      </c>
      <c r="T169" s="543">
        <f t="shared" si="8"/>
        <v>425068.98546426202</v>
      </c>
    </row>
    <row r="170" spans="17:20" x14ac:dyDescent="0.35">
      <c r="Q170" s="526">
        <v>147</v>
      </c>
      <c r="R170" s="526">
        <f t="shared" si="9"/>
        <v>2125.8665186650101</v>
      </c>
      <c r="T170" s="543">
        <f t="shared" si="8"/>
        <v>430042.81766281318</v>
      </c>
    </row>
    <row r="171" spans="17:20" x14ac:dyDescent="0.35">
      <c r="Q171" s="526">
        <v>148</v>
      </c>
      <c r="R171" s="526">
        <f t="shared" si="9"/>
        <v>2125.8665186650101</v>
      </c>
      <c r="T171" s="543">
        <f t="shared" si="8"/>
        <v>435049.80874268798</v>
      </c>
    </row>
    <row r="172" spans="17:20" x14ac:dyDescent="0.35">
      <c r="Q172" s="526">
        <v>149</v>
      </c>
      <c r="R172" s="526">
        <f t="shared" si="9"/>
        <v>2125.8665186650101</v>
      </c>
      <c r="T172" s="543">
        <f t="shared" si="8"/>
        <v>440090.17976309528</v>
      </c>
    </row>
    <row r="173" spans="17:20" x14ac:dyDescent="0.35">
      <c r="Q173" s="526">
        <v>150</v>
      </c>
      <c r="R173" s="526">
        <f t="shared" si="9"/>
        <v>2125.8665186650101</v>
      </c>
      <c r="T173" s="543">
        <f t="shared" si="8"/>
        <v>445164.15325697197</v>
      </c>
    </row>
    <row r="174" spans="17:20" x14ac:dyDescent="0.35">
      <c r="Q174" s="526">
        <v>151</v>
      </c>
      <c r="R174" s="526">
        <f t="shared" si="9"/>
        <v>2125.8665186650101</v>
      </c>
      <c r="T174" s="543">
        <f t="shared" si="8"/>
        <v>450271.95324080787</v>
      </c>
    </row>
    <row r="175" spans="17:20" x14ac:dyDescent="0.35">
      <c r="Q175" s="526">
        <v>152</v>
      </c>
      <c r="R175" s="526">
        <f t="shared" si="9"/>
        <v>2125.8665186650101</v>
      </c>
      <c r="T175" s="543">
        <f t="shared" si="8"/>
        <v>455413.80522453599</v>
      </c>
    </row>
    <row r="176" spans="17:20" x14ac:dyDescent="0.35">
      <c r="Q176" s="526">
        <v>153</v>
      </c>
      <c r="R176" s="526">
        <f t="shared" si="9"/>
        <v>2125.8665186650101</v>
      </c>
      <c r="T176" s="543">
        <f t="shared" si="8"/>
        <v>460589.93622148893</v>
      </c>
    </row>
    <row r="177" spans="17:20" x14ac:dyDescent="0.35">
      <c r="Q177" s="526">
        <v>154</v>
      </c>
      <c r="R177" s="526">
        <f t="shared" si="9"/>
        <v>2125.8665186650101</v>
      </c>
      <c r="T177" s="543">
        <f t="shared" si="8"/>
        <v>465800.57475842157</v>
      </c>
    </row>
    <row r="178" spans="17:20" x14ac:dyDescent="0.35">
      <c r="Q178" s="526">
        <v>155</v>
      </c>
      <c r="R178" s="526">
        <f t="shared" si="9"/>
        <v>2125.8665186650101</v>
      </c>
      <c r="T178" s="543">
        <f t="shared" si="8"/>
        <v>471045.95088560041</v>
      </c>
    </row>
    <row r="179" spans="17:20" x14ac:dyDescent="0.35">
      <c r="Q179" s="526">
        <v>156</v>
      </c>
      <c r="R179" s="526">
        <f t="shared" si="9"/>
        <v>2125.8665186650101</v>
      </c>
      <c r="T179" s="543">
        <f t="shared" si="8"/>
        <v>476326.29618696048</v>
      </c>
    </row>
    <row r="180" spans="17:20" x14ac:dyDescent="0.35">
      <c r="Q180" s="526">
        <v>157</v>
      </c>
      <c r="R180" s="526">
        <f t="shared" si="9"/>
        <v>2189.6425142249605</v>
      </c>
      <c r="T180" s="543">
        <f t="shared" si="8"/>
        <v>481706.04495919333</v>
      </c>
    </row>
    <row r="181" spans="17:20" x14ac:dyDescent="0.35">
      <c r="Q181" s="526">
        <v>158</v>
      </c>
      <c r="R181" s="526">
        <f t="shared" si="9"/>
        <v>2189.6425142249605</v>
      </c>
      <c r="T181" s="543">
        <f t="shared" si="8"/>
        <v>487121.65872324107</v>
      </c>
    </row>
    <row r="182" spans="17:20" x14ac:dyDescent="0.35">
      <c r="Q182" s="526">
        <v>159</v>
      </c>
      <c r="R182" s="526">
        <f t="shared" si="9"/>
        <v>2189.6425142249605</v>
      </c>
      <c r="T182" s="543">
        <f t="shared" si="8"/>
        <v>492573.3765790491</v>
      </c>
    </row>
    <row r="183" spans="17:20" x14ac:dyDescent="0.35">
      <c r="Q183" s="526">
        <v>160</v>
      </c>
      <c r="R183" s="526">
        <f t="shared" si="9"/>
        <v>2189.6425142249605</v>
      </c>
      <c r="T183" s="543">
        <f t="shared" si="8"/>
        <v>498061.43922056252</v>
      </c>
    </row>
    <row r="184" spans="17:20" x14ac:dyDescent="0.35">
      <c r="Q184" s="526">
        <v>161</v>
      </c>
      <c r="R184" s="526">
        <f t="shared" si="9"/>
        <v>2189.6425142249605</v>
      </c>
      <c r="T184" s="543">
        <f t="shared" si="8"/>
        <v>503586.08894635271</v>
      </c>
    </row>
    <row r="185" spans="17:20" x14ac:dyDescent="0.35">
      <c r="Q185" s="526">
        <v>162</v>
      </c>
      <c r="R185" s="526">
        <f t="shared" si="9"/>
        <v>2189.6425142249605</v>
      </c>
      <c r="T185" s="543">
        <f t="shared" si="8"/>
        <v>509147.56967031484</v>
      </c>
    </row>
    <row r="186" spans="17:20" x14ac:dyDescent="0.35">
      <c r="Q186" s="526">
        <v>163</v>
      </c>
      <c r="R186" s="526">
        <f t="shared" si="9"/>
        <v>2189.6425142249605</v>
      </c>
      <c r="T186" s="543">
        <f t="shared" si="8"/>
        <v>514746.12693243672</v>
      </c>
    </row>
    <row r="187" spans="17:20" x14ac:dyDescent="0.35">
      <c r="Q187" s="526">
        <v>164</v>
      </c>
      <c r="R187" s="526">
        <f t="shared" si="9"/>
        <v>2189.6425142249605</v>
      </c>
      <c r="T187" s="543">
        <f t="shared" si="8"/>
        <v>520382.00790963939</v>
      </c>
    </row>
    <row r="188" spans="17:20" x14ac:dyDescent="0.35">
      <c r="Q188" s="526">
        <v>165</v>
      </c>
      <c r="R188" s="526">
        <f t="shared" si="9"/>
        <v>2189.6425142249605</v>
      </c>
      <c r="T188" s="543">
        <f t="shared" si="8"/>
        <v>526055.4614266901</v>
      </c>
    </row>
    <row r="189" spans="17:20" x14ac:dyDescent="0.35">
      <c r="Q189" s="526">
        <v>166</v>
      </c>
      <c r="R189" s="526">
        <f t="shared" si="9"/>
        <v>2189.6425142249605</v>
      </c>
      <c r="T189" s="543">
        <f t="shared" si="8"/>
        <v>531766.73796718777</v>
      </c>
    </row>
    <row r="190" spans="17:20" x14ac:dyDescent="0.35">
      <c r="Q190" s="526">
        <v>167</v>
      </c>
      <c r="R190" s="526">
        <f t="shared" si="9"/>
        <v>2189.6425142249605</v>
      </c>
      <c r="T190" s="543">
        <f t="shared" si="8"/>
        <v>537516.08968462213</v>
      </c>
    </row>
    <row r="191" spans="17:20" x14ac:dyDescent="0.35">
      <c r="Q191" s="526">
        <v>168</v>
      </c>
      <c r="R191" s="526">
        <f t="shared" si="9"/>
        <v>2189.6425142249605</v>
      </c>
      <c r="T191" s="543">
        <f t="shared" si="8"/>
        <v>543303.77041350608</v>
      </c>
    </row>
    <row r="192" spans="17:20" x14ac:dyDescent="0.35">
      <c r="Q192" s="526">
        <v>169</v>
      </c>
      <c r="R192" s="526">
        <f t="shared" si="9"/>
        <v>2255.3317896517092</v>
      </c>
      <c r="T192" s="543">
        <f t="shared" si="8"/>
        <v>549196.1628845121</v>
      </c>
    </row>
    <row r="193" spans="17:20" x14ac:dyDescent="0.35">
      <c r="Q193" s="526">
        <v>170</v>
      </c>
      <c r="R193" s="526">
        <f t="shared" si="9"/>
        <v>2255.3317896517092</v>
      </c>
      <c r="T193" s="543">
        <f t="shared" si="8"/>
        <v>555127.83797199151</v>
      </c>
    </row>
    <row r="194" spans="17:20" x14ac:dyDescent="0.35">
      <c r="Q194" s="526">
        <v>171</v>
      </c>
      <c r="R194" s="526">
        <f t="shared" si="9"/>
        <v>2255.3317896517092</v>
      </c>
      <c r="T194" s="543">
        <f t="shared" si="8"/>
        <v>561099.05756005412</v>
      </c>
    </row>
    <row r="195" spans="17:20" x14ac:dyDescent="0.35">
      <c r="Q195" s="526">
        <v>172</v>
      </c>
      <c r="R195" s="526">
        <f t="shared" si="9"/>
        <v>2255.3317896517092</v>
      </c>
      <c r="T195" s="543">
        <f t="shared" si="8"/>
        <v>567110.08527870371</v>
      </c>
    </row>
    <row r="196" spans="17:20" x14ac:dyDescent="0.35">
      <c r="Q196" s="526">
        <v>173</v>
      </c>
      <c r="R196" s="526">
        <f t="shared" si="9"/>
        <v>2255.3317896517092</v>
      </c>
      <c r="T196" s="543">
        <f t="shared" si="8"/>
        <v>573161.18651547772</v>
      </c>
    </row>
    <row r="197" spans="17:20" x14ac:dyDescent="0.35">
      <c r="Q197" s="526">
        <v>174</v>
      </c>
      <c r="R197" s="526">
        <f t="shared" si="9"/>
        <v>2255.3317896517092</v>
      </c>
      <c r="T197" s="543">
        <f t="shared" si="8"/>
        <v>579252.62842716358</v>
      </c>
    </row>
    <row r="198" spans="17:20" x14ac:dyDescent="0.35">
      <c r="Q198" s="526">
        <v>175</v>
      </c>
      <c r="R198" s="526">
        <f t="shared" si="9"/>
        <v>2255.3317896517092</v>
      </c>
      <c r="T198" s="543">
        <f t="shared" si="8"/>
        <v>585384.67995159398</v>
      </c>
    </row>
    <row r="199" spans="17:20" x14ac:dyDescent="0.35">
      <c r="Q199" s="526">
        <v>176</v>
      </c>
      <c r="R199" s="526">
        <f t="shared" si="9"/>
        <v>2255.3317896517092</v>
      </c>
      <c r="T199" s="543">
        <f t="shared" si="8"/>
        <v>591557.61181952059</v>
      </c>
    </row>
    <row r="200" spans="17:20" x14ac:dyDescent="0.35">
      <c r="Q200" s="526">
        <v>177</v>
      </c>
      <c r="R200" s="526">
        <f t="shared" si="9"/>
        <v>2255.3317896517092</v>
      </c>
      <c r="T200" s="543">
        <f t="shared" si="8"/>
        <v>597771.69656656671</v>
      </c>
    </row>
    <row r="201" spans="17:20" x14ac:dyDescent="0.35">
      <c r="Q201" s="526">
        <v>178</v>
      </c>
      <c r="R201" s="526">
        <f t="shared" si="9"/>
        <v>2255.3317896517092</v>
      </c>
      <c r="T201" s="543">
        <f t="shared" si="8"/>
        <v>604027.20854525978</v>
      </c>
    </row>
    <row r="202" spans="17:20" x14ac:dyDescent="0.35">
      <c r="Q202" s="526">
        <v>179</v>
      </c>
      <c r="R202" s="526">
        <f t="shared" si="9"/>
        <v>2255.3317896517092</v>
      </c>
      <c r="T202" s="543">
        <f t="shared" si="8"/>
        <v>610324.42393714411</v>
      </c>
    </row>
    <row r="203" spans="17:20" x14ac:dyDescent="0.35">
      <c r="Q203" s="526">
        <v>180</v>
      </c>
      <c r="R203" s="526">
        <f t="shared" si="9"/>
        <v>2255.3317896517092</v>
      </c>
      <c r="T203" s="543">
        <f t="shared" si="8"/>
        <v>616663.62076497439</v>
      </c>
    </row>
    <row r="204" spans="17:20" x14ac:dyDescent="0.35">
      <c r="Q204" s="526">
        <v>181</v>
      </c>
      <c r="R204" s="526">
        <f t="shared" si="9"/>
        <v>2322.9917433412606</v>
      </c>
      <c r="T204" s="543">
        <f t="shared" si="8"/>
        <v>623113.18992503767</v>
      </c>
    </row>
    <row r="205" spans="17:20" x14ac:dyDescent="0.35">
      <c r="Q205" s="526">
        <v>182</v>
      </c>
      <c r="R205" s="526">
        <f t="shared" si="9"/>
        <v>2322.9917433412606</v>
      </c>
      <c r="T205" s="543">
        <f t="shared" si="8"/>
        <v>629605.75621283473</v>
      </c>
    </row>
    <row r="206" spans="17:20" x14ac:dyDescent="0.35">
      <c r="Q206" s="526">
        <v>183</v>
      </c>
      <c r="R206" s="526">
        <f t="shared" si="9"/>
        <v>2322.9917433412606</v>
      </c>
      <c r="T206" s="543">
        <f t="shared" si="8"/>
        <v>636141.60627588374</v>
      </c>
    </row>
    <row r="207" spans="17:20" x14ac:dyDescent="0.35">
      <c r="Q207" s="526">
        <v>184</v>
      </c>
      <c r="R207" s="526">
        <f t="shared" si="9"/>
        <v>2322.9917433412606</v>
      </c>
      <c r="T207" s="543">
        <f t="shared" si="8"/>
        <v>642721.02867268643</v>
      </c>
    </row>
    <row r="208" spans="17:20" x14ac:dyDescent="0.35">
      <c r="Q208" s="526">
        <v>185</v>
      </c>
      <c r="R208" s="526">
        <f t="shared" si="9"/>
        <v>2322.9917433412606</v>
      </c>
      <c r="T208" s="543">
        <f t="shared" si="8"/>
        <v>649344.31388546783</v>
      </c>
    </row>
    <row r="209" spans="17:20" x14ac:dyDescent="0.35">
      <c r="Q209" s="526">
        <v>186</v>
      </c>
      <c r="R209" s="526">
        <f t="shared" si="9"/>
        <v>2322.9917433412606</v>
      </c>
      <c r="T209" s="543">
        <f t="shared" si="8"/>
        <v>656011.7543330011</v>
      </c>
    </row>
    <row r="210" spans="17:20" x14ac:dyDescent="0.35">
      <c r="Q210" s="526">
        <v>187</v>
      </c>
      <c r="R210" s="526">
        <f t="shared" si="9"/>
        <v>2322.9917433412606</v>
      </c>
      <c r="T210" s="543">
        <f t="shared" si="8"/>
        <v>662723.64438351791</v>
      </c>
    </row>
    <row r="211" spans="17:20" x14ac:dyDescent="0.35">
      <c r="Q211" s="526">
        <v>188</v>
      </c>
      <c r="R211" s="526">
        <f t="shared" si="9"/>
        <v>2322.9917433412606</v>
      </c>
      <c r="T211" s="543">
        <f t="shared" si="8"/>
        <v>669480.28036770481</v>
      </c>
    </row>
    <row r="212" spans="17:20" x14ac:dyDescent="0.35">
      <c r="Q212" s="526">
        <v>189</v>
      </c>
      <c r="R212" s="526">
        <f t="shared" si="9"/>
        <v>2322.9917433412606</v>
      </c>
      <c r="T212" s="543">
        <f t="shared" si="8"/>
        <v>676281.96059178631</v>
      </c>
    </row>
    <row r="213" spans="17:20" x14ac:dyDescent="0.35">
      <c r="Q213" s="526">
        <v>190</v>
      </c>
      <c r="R213" s="526">
        <f t="shared" si="9"/>
        <v>2322.9917433412606</v>
      </c>
      <c r="T213" s="543">
        <f t="shared" si="8"/>
        <v>683128.98535069497</v>
      </c>
    </row>
    <row r="214" spans="17:20" x14ac:dyDescent="0.35">
      <c r="Q214" s="526">
        <v>191</v>
      </c>
      <c r="R214" s="526">
        <f t="shared" si="9"/>
        <v>2322.9917433412606</v>
      </c>
      <c r="T214" s="543">
        <f t="shared" ref="T214:T277" si="10">(T213+R214)*(1+$T$19)</f>
        <v>690021.65694132971</v>
      </c>
    </row>
    <row r="215" spans="17:20" x14ac:dyDescent="0.35">
      <c r="Q215" s="526">
        <v>192</v>
      </c>
      <c r="R215" s="526">
        <f t="shared" si="9"/>
        <v>2322.9917433412606</v>
      </c>
      <c r="T215" s="543">
        <f t="shared" si="10"/>
        <v>696960.27967590198</v>
      </c>
    </row>
    <row r="216" spans="17:20" x14ac:dyDescent="0.35">
      <c r="Q216" s="526">
        <v>193</v>
      </c>
      <c r="R216" s="526">
        <f t="shared" si="9"/>
        <v>2392.6814956414987</v>
      </c>
      <c r="T216" s="543">
        <f t="shared" si="10"/>
        <v>704015.3142460204</v>
      </c>
    </row>
    <row r="217" spans="17:20" x14ac:dyDescent="0.35">
      <c r="Q217" s="526">
        <v>194</v>
      </c>
      <c r="R217" s="526">
        <f t="shared" si="9"/>
        <v>2392.6814956414987</v>
      </c>
      <c r="T217" s="543">
        <f t="shared" si="10"/>
        <v>711117.38237993955</v>
      </c>
    </row>
    <row r="218" spans="17:20" x14ac:dyDescent="0.35">
      <c r="Q218" s="526">
        <v>195</v>
      </c>
      <c r="R218" s="526">
        <f t="shared" si="9"/>
        <v>2392.6814956414987</v>
      </c>
      <c r="T218" s="543">
        <f t="shared" si="10"/>
        <v>718266.79763475154</v>
      </c>
    </row>
    <row r="219" spans="17:20" x14ac:dyDescent="0.35">
      <c r="Q219" s="526">
        <v>196</v>
      </c>
      <c r="R219" s="526">
        <f t="shared" si="9"/>
        <v>2392.6814956414987</v>
      </c>
      <c r="T219" s="543">
        <f t="shared" si="10"/>
        <v>725463.87565792887</v>
      </c>
    </row>
    <row r="220" spans="17:20" x14ac:dyDescent="0.35">
      <c r="Q220" s="526">
        <v>197</v>
      </c>
      <c r="R220" s="526">
        <f t="shared" si="9"/>
        <v>2392.6814956414987</v>
      </c>
      <c r="T220" s="543">
        <f t="shared" si="10"/>
        <v>732708.9342012608</v>
      </c>
    </row>
    <row r="221" spans="17:20" x14ac:dyDescent="0.35">
      <c r="Q221" s="526">
        <v>198</v>
      </c>
      <c r="R221" s="526">
        <f t="shared" si="9"/>
        <v>2392.6814956414987</v>
      </c>
      <c r="T221" s="543">
        <f t="shared" si="10"/>
        <v>740002.29313488153</v>
      </c>
    </row>
    <row r="222" spans="17:20" x14ac:dyDescent="0.35">
      <c r="Q222" s="526">
        <v>199</v>
      </c>
      <c r="R222" s="526">
        <f t="shared" si="9"/>
        <v>2392.6814956414987</v>
      </c>
      <c r="T222" s="543">
        <f t="shared" si="10"/>
        <v>747344.27446139313</v>
      </c>
    </row>
    <row r="223" spans="17:20" x14ac:dyDescent="0.35">
      <c r="Q223" s="526">
        <v>200</v>
      </c>
      <c r="R223" s="526">
        <f t="shared" si="9"/>
        <v>2392.6814956414987</v>
      </c>
      <c r="T223" s="543">
        <f t="shared" si="10"/>
        <v>754735.20233008149</v>
      </c>
    </row>
    <row r="224" spans="17:20" x14ac:dyDescent="0.35">
      <c r="Q224" s="526">
        <v>201</v>
      </c>
      <c r="R224" s="526">
        <f t="shared" si="9"/>
        <v>2392.6814956414987</v>
      </c>
      <c r="T224" s="543">
        <f t="shared" si="10"/>
        <v>762175.40305122768</v>
      </c>
    </row>
    <row r="225" spans="17:20" x14ac:dyDescent="0.35">
      <c r="Q225" s="526">
        <v>202</v>
      </c>
      <c r="R225" s="526">
        <f t="shared" si="9"/>
        <v>2392.6814956414987</v>
      </c>
      <c r="T225" s="543">
        <f t="shared" si="10"/>
        <v>769665.20511051489</v>
      </c>
    </row>
    <row r="226" spans="17:20" x14ac:dyDescent="0.35">
      <c r="Q226" s="526">
        <v>203</v>
      </c>
      <c r="R226" s="526">
        <f t="shared" si="9"/>
        <v>2392.6814956414987</v>
      </c>
      <c r="T226" s="543">
        <f t="shared" si="10"/>
        <v>777204.93918353063</v>
      </c>
    </row>
    <row r="227" spans="17:20" x14ac:dyDescent="0.35">
      <c r="Q227" s="526">
        <v>204</v>
      </c>
      <c r="R227" s="526">
        <f t="shared" si="9"/>
        <v>2392.6814956414987</v>
      </c>
      <c r="T227" s="543">
        <f t="shared" si="10"/>
        <v>784794.93815036654</v>
      </c>
    </row>
    <row r="228" spans="17:20" x14ac:dyDescent="0.35">
      <c r="Q228" s="526">
        <v>205</v>
      </c>
      <c r="R228" s="526">
        <f t="shared" si="9"/>
        <v>2464.4619405107437</v>
      </c>
      <c r="T228" s="543">
        <f t="shared" si="10"/>
        <v>792507.79609148309</v>
      </c>
    </row>
    <row r="229" spans="17:20" x14ac:dyDescent="0.35">
      <c r="Q229" s="526">
        <v>206</v>
      </c>
      <c r="R229" s="526">
        <f t="shared" si="9"/>
        <v>2464.4619405107437</v>
      </c>
      <c r="T229" s="543">
        <f t="shared" si="10"/>
        <v>800272.07308554044</v>
      </c>
    </row>
    <row r="230" spans="17:20" x14ac:dyDescent="0.35">
      <c r="Q230" s="526">
        <v>207</v>
      </c>
      <c r="R230" s="526">
        <f t="shared" si="9"/>
        <v>2464.4619405107437</v>
      </c>
      <c r="T230" s="543">
        <f t="shared" si="10"/>
        <v>808088.1119262249</v>
      </c>
    </row>
    <row r="231" spans="17:20" x14ac:dyDescent="0.35">
      <c r="Q231" s="526">
        <v>208</v>
      </c>
      <c r="R231" s="526">
        <f t="shared" si="9"/>
        <v>2464.4619405107437</v>
      </c>
      <c r="T231" s="543">
        <f t="shared" si="10"/>
        <v>815956.25769251387</v>
      </c>
    </row>
    <row r="232" spans="17:20" x14ac:dyDescent="0.35">
      <c r="Q232" s="526">
        <v>209</v>
      </c>
      <c r="R232" s="526">
        <f t="shared" ref="R232:R295" si="11">R220*(1+$R$19)</f>
        <v>2464.4619405107437</v>
      </c>
      <c r="T232" s="543">
        <f t="shared" si="10"/>
        <v>823876.85776391148</v>
      </c>
    </row>
    <row r="233" spans="17:20" x14ac:dyDescent="0.35">
      <c r="Q233" s="526">
        <v>210</v>
      </c>
      <c r="R233" s="526">
        <f t="shared" si="11"/>
        <v>2464.4619405107437</v>
      </c>
      <c r="T233" s="543">
        <f t="shared" si="10"/>
        <v>831850.261835785</v>
      </c>
    </row>
    <row r="234" spans="17:20" x14ac:dyDescent="0.35">
      <c r="Q234" s="526">
        <v>211</v>
      </c>
      <c r="R234" s="526">
        <f t="shared" si="11"/>
        <v>2464.4619405107437</v>
      </c>
      <c r="T234" s="543">
        <f t="shared" si="10"/>
        <v>839876.82193480432</v>
      </c>
    </row>
    <row r="235" spans="17:20" x14ac:dyDescent="0.35">
      <c r="Q235" s="526">
        <v>212</v>
      </c>
      <c r="R235" s="526">
        <f t="shared" si="11"/>
        <v>2464.4619405107437</v>
      </c>
      <c r="T235" s="543">
        <f t="shared" si="10"/>
        <v>847956.89243448386</v>
      </c>
    </row>
    <row r="236" spans="17:20" x14ac:dyDescent="0.35">
      <c r="Q236" s="526">
        <v>213</v>
      </c>
      <c r="R236" s="526">
        <f t="shared" si="11"/>
        <v>2464.4619405107437</v>
      </c>
      <c r="T236" s="543">
        <f t="shared" si="10"/>
        <v>856090.83007082785</v>
      </c>
    </row>
    <row r="237" spans="17:20" x14ac:dyDescent="0.35">
      <c r="Q237" s="526">
        <v>214</v>
      </c>
      <c r="R237" s="526">
        <f t="shared" si="11"/>
        <v>2464.4619405107437</v>
      </c>
      <c r="T237" s="543">
        <f t="shared" si="10"/>
        <v>864278.99395808089</v>
      </c>
    </row>
    <row r="238" spans="17:20" x14ac:dyDescent="0.35">
      <c r="Q238" s="526">
        <v>215</v>
      </c>
      <c r="R238" s="526">
        <f t="shared" si="11"/>
        <v>2464.4619405107437</v>
      </c>
      <c r="T238" s="543">
        <f t="shared" si="10"/>
        <v>872521.74560458225</v>
      </c>
    </row>
    <row r="239" spans="17:20" x14ac:dyDescent="0.35">
      <c r="Q239" s="526">
        <v>216</v>
      </c>
      <c r="R239" s="526">
        <f t="shared" si="11"/>
        <v>2464.4619405107437</v>
      </c>
      <c r="T239" s="543">
        <f t="shared" si="10"/>
        <v>880819.44892872695</v>
      </c>
    </row>
    <row r="240" spans="17:20" x14ac:dyDescent="0.35">
      <c r="Q240" s="526">
        <v>217</v>
      </c>
      <c r="R240" s="526">
        <f t="shared" si="11"/>
        <v>2538.395798726066</v>
      </c>
      <c r="T240" s="543">
        <f t="shared" si="10"/>
        <v>889246.89702563605</v>
      </c>
    </row>
    <row r="241" spans="17:20" x14ac:dyDescent="0.35">
      <c r="Q241" s="526">
        <v>218</v>
      </c>
      <c r="R241" s="526">
        <f t="shared" si="11"/>
        <v>2538.395798726066</v>
      </c>
      <c r="T241" s="543">
        <f t="shared" si="10"/>
        <v>897730.52810985781</v>
      </c>
    </row>
    <row r="242" spans="17:20" x14ac:dyDescent="0.35">
      <c r="Q242" s="526">
        <v>219</v>
      </c>
      <c r="R242" s="526">
        <f t="shared" si="11"/>
        <v>2538.395798726066</v>
      </c>
      <c r="T242" s="543">
        <f t="shared" si="10"/>
        <v>906270.71673464112</v>
      </c>
    </row>
    <row r="243" spans="17:20" x14ac:dyDescent="0.35">
      <c r="Q243" s="526">
        <v>220</v>
      </c>
      <c r="R243" s="526">
        <f t="shared" si="11"/>
        <v>2538.395798726066</v>
      </c>
      <c r="T243" s="543">
        <f t="shared" si="10"/>
        <v>914867.83995025628</v>
      </c>
    </row>
    <row r="244" spans="17:20" x14ac:dyDescent="0.35">
      <c r="Q244" s="526">
        <v>221</v>
      </c>
      <c r="R244" s="526">
        <f t="shared" si="11"/>
        <v>2538.395798726066</v>
      </c>
      <c r="T244" s="543">
        <f t="shared" si="10"/>
        <v>923522.27732064226</v>
      </c>
    </row>
    <row r="245" spans="17:20" x14ac:dyDescent="0.35">
      <c r="Q245" s="526">
        <v>222</v>
      </c>
      <c r="R245" s="526">
        <f t="shared" si="11"/>
        <v>2538.395798726066</v>
      </c>
      <c r="T245" s="543">
        <f t="shared" si="10"/>
        <v>932234.41094016412</v>
      </c>
    </row>
    <row r="246" spans="17:20" x14ac:dyDescent="0.35">
      <c r="Q246" s="526">
        <v>223</v>
      </c>
      <c r="R246" s="526">
        <f t="shared" si="11"/>
        <v>2538.395798726066</v>
      </c>
      <c r="T246" s="543">
        <f t="shared" si="10"/>
        <v>941004.62545048282</v>
      </c>
    </row>
    <row r="247" spans="17:20" x14ac:dyDescent="0.35">
      <c r="Q247" s="526">
        <v>224</v>
      </c>
      <c r="R247" s="526">
        <f t="shared" si="11"/>
        <v>2538.395798726066</v>
      </c>
      <c r="T247" s="543">
        <f t="shared" si="10"/>
        <v>949833.30805753695</v>
      </c>
    </row>
    <row r="248" spans="17:20" x14ac:dyDescent="0.35">
      <c r="Q248" s="526">
        <v>225</v>
      </c>
      <c r="R248" s="526">
        <f t="shared" si="11"/>
        <v>2538.395798726066</v>
      </c>
      <c r="T248" s="543">
        <f t="shared" si="10"/>
        <v>958720.84854863805</v>
      </c>
    </row>
    <row r="249" spans="17:20" x14ac:dyDescent="0.35">
      <c r="Q249" s="526">
        <v>226</v>
      </c>
      <c r="R249" s="526">
        <f t="shared" si="11"/>
        <v>2538.395798726066</v>
      </c>
      <c r="T249" s="543">
        <f t="shared" si="10"/>
        <v>967667.63930967986</v>
      </c>
    </row>
    <row r="250" spans="17:20" x14ac:dyDescent="0.35">
      <c r="Q250" s="526">
        <v>227</v>
      </c>
      <c r="R250" s="526">
        <f t="shared" si="11"/>
        <v>2538.395798726066</v>
      </c>
      <c r="T250" s="543">
        <f t="shared" si="10"/>
        <v>976674.07534246193</v>
      </c>
    </row>
    <row r="251" spans="17:20" x14ac:dyDescent="0.35">
      <c r="Q251" s="526">
        <v>228</v>
      </c>
      <c r="R251" s="526">
        <f t="shared" si="11"/>
        <v>2538.395798726066</v>
      </c>
      <c r="T251" s="543">
        <f t="shared" si="10"/>
        <v>985740.55428212928</v>
      </c>
    </row>
    <row r="252" spans="17:20" x14ac:dyDescent="0.35">
      <c r="Q252" s="526">
        <v>229</v>
      </c>
      <c r="R252" s="526">
        <f t="shared" si="11"/>
        <v>2614.5476726878483</v>
      </c>
      <c r="T252" s="543">
        <f t="shared" si="10"/>
        <v>994944.13596784917</v>
      </c>
    </row>
    <row r="253" spans="17:20" x14ac:dyDescent="0.35">
      <c r="Q253" s="526">
        <v>230</v>
      </c>
      <c r="R253" s="526">
        <f t="shared" si="11"/>
        <v>2614.5476726878483</v>
      </c>
      <c r="T253" s="543">
        <f t="shared" si="10"/>
        <v>1004209.0748648072</v>
      </c>
    </row>
    <row r="254" spans="17:20" x14ac:dyDescent="0.35">
      <c r="Q254" s="526">
        <v>231</v>
      </c>
      <c r="R254" s="526">
        <f t="shared" si="11"/>
        <v>2614.5476726878483</v>
      </c>
      <c r="T254" s="543">
        <f t="shared" si="10"/>
        <v>1013535.7800210782</v>
      </c>
    </row>
    <row r="255" spans="17:20" x14ac:dyDescent="0.35">
      <c r="Q255" s="526">
        <v>232</v>
      </c>
      <c r="R255" s="526">
        <f t="shared" si="11"/>
        <v>2614.5476726878483</v>
      </c>
      <c r="T255" s="543">
        <f t="shared" si="10"/>
        <v>1022924.6632117244</v>
      </c>
    </row>
    <row r="256" spans="17:20" x14ac:dyDescent="0.35">
      <c r="Q256" s="526">
        <v>233</v>
      </c>
      <c r="R256" s="526">
        <f t="shared" si="11"/>
        <v>2614.5476726878483</v>
      </c>
      <c r="T256" s="543">
        <f t="shared" si="10"/>
        <v>1032376.1389569748</v>
      </c>
    </row>
    <row r="257" spans="17:20" x14ac:dyDescent="0.35">
      <c r="Q257" s="526">
        <v>234</v>
      </c>
      <c r="R257" s="526">
        <f t="shared" si="11"/>
        <v>2614.5476726878483</v>
      </c>
      <c r="T257" s="543">
        <f t="shared" si="10"/>
        <v>1041890.624540527</v>
      </c>
    </row>
    <row r="258" spans="17:20" x14ac:dyDescent="0.35">
      <c r="Q258" s="526">
        <v>235</v>
      </c>
      <c r="R258" s="526">
        <f t="shared" si="11"/>
        <v>2614.5476726878483</v>
      </c>
      <c r="T258" s="543">
        <f t="shared" si="10"/>
        <v>1051468.5400279695</v>
      </c>
    </row>
    <row r="259" spans="17:20" x14ac:dyDescent="0.35">
      <c r="Q259" s="526">
        <v>236</v>
      </c>
      <c r="R259" s="526">
        <f t="shared" si="11"/>
        <v>2614.5476726878483</v>
      </c>
      <c r="T259" s="543">
        <f t="shared" si="10"/>
        <v>1061110.3082853283</v>
      </c>
    </row>
    <row r="260" spans="17:20" x14ac:dyDescent="0.35">
      <c r="Q260" s="526">
        <v>237</v>
      </c>
      <c r="R260" s="526">
        <f t="shared" si="11"/>
        <v>2614.5476726878483</v>
      </c>
      <c r="T260" s="543">
        <f t="shared" si="10"/>
        <v>1070816.3549977362</v>
      </c>
    </row>
    <row r="261" spans="17:20" x14ac:dyDescent="0.35">
      <c r="Q261" s="526">
        <v>238</v>
      </c>
      <c r="R261" s="526">
        <f t="shared" si="11"/>
        <v>2614.5476726878483</v>
      </c>
      <c r="T261" s="543">
        <f t="shared" si="10"/>
        <v>1080587.1086882267</v>
      </c>
    </row>
    <row r="262" spans="17:20" x14ac:dyDescent="0.35">
      <c r="Q262" s="526">
        <v>239</v>
      </c>
      <c r="R262" s="526">
        <f t="shared" si="11"/>
        <v>2614.5476726878483</v>
      </c>
      <c r="T262" s="543">
        <f t="shared" si="10"/>
        <v>1090423.0007366538</v>
      </c>
    </row>
    <row r="263" spans="17:20" x14ac:dyDescent="0.35">
      <c r="Q263" s="526">
        <v>240</v>
      </c>
      <c r="R263" s="526">
        <f t="shared" si="11"/>
        <v>2614.5476726878483</v>
      </c>
      <c r="T263" s="543">
        <f t="shared" si="10"/>
        <v>1100324.4653987372</v>
      </c>
    </row>
    <row r="264" spans="17:20" x14ac:dyDescent="0.35">
      <c r="Q264" s="526">
        <v>241</v>
      </c>
      <c r="R264" s="526">
        <f t="shared" si="11"/>
        <v>2692.9841028684837</v>
      </c>
      <c r="T264" s="543">
        <f t="shared" si="10"/>
        <v>1110370.8991649498</v>
      </c>
    </row>
    <row r="265" spans="17:20" x14ac:dyDescent="0.35">
      <c r="Q265" s="526">
        <v>242</v>
      </c>
      <c r="R265" s="526">
        <f t="shared" si="11"/>
        <v>2692.9841028684837</v>
      </c>
      <c r="T265" s="543">
        <f t="shared" si="10"/>
        <v>1120484.3091562702</v>
      </c>
    </row>
    <row r="266" spans="17:20" x14ac:dyDescent="0.35">
      <c r="Q266" s="526">
        <v>243</v>
      </c>
      <c r="R266" s="526">
        <f t="shared" si="11"/>
        <v>2692.9841028684837</v>
      </c>
      <c r="T266" s="543">
        <f t="shared" si="10"/>
        <v>1130665.1418808661</v>
      </c>
    </row>
    <row r="267" spans="17:20" x14ac:dyDescent="0.35">
      <c r="Q267" s="526">
        <v>244</v>
      </c>
      <c r="R267" s="526">
        <f t="shared" si="11"/>
        <v>2692.9841028684837</v>
      </c>
      <c r="T267" s="543">
        <f t="shared" si="10"/>
        <v>1140913.8468236262</v>
      </c>
    </row>
    <row r="268" spans="17:20" x14ac:dyDescent="0.35">
      <c r="Q268" s="526">
        <v>245</v>
      </c>
      <c r="R268" s="526">
        <f t="shared" si="11"/>
        <v>2692.9841028684837</v>
      </c>
      <c r="T268" s="543">
        <f t="shared" si="10"/>
        <v>1151230.8764660046</v>
      </c>
    </row>
    <row r="269" spans="17:20" x14ac:dyDescent="0.35">
      <c r="Q269" s="526">
        <v>246</v>
      </c>
      <c r="R269" s="526">
        <f t="shared" si="11"/>
        <v>2692.9841028684837</v>
      </c>
      <c r="T269" s="543">
        <f t="shared" si="10"/>
        <v>1161616.6863059988</v>
      </c>
    </row>
    <row r="270" spans="17:20" x14ac:dyDescent="0.35">
      <c r="Q270" s="526">
        <v>247</v>
      </c>
      <c r="R270" s="526">
        <f t="shared" si="11"/>
        <v>2692.9841028684837</v>
      </c>
      <c r="T270" s="543">
        <f t="shared" si="10"/>
        <v>1172071.7348782597</v>
      </c>
    </row>
    <row r="271" spans="17:20" x14ac:dyDescent="0.35">
      <c r="Q271" s="526">
        <v>248</v>
      </c>
      <c r="R271" s="526">
        <f t="shared" si="11"/>
        <v>2692.9841028684837</v>
      </c>
      <c r="T271" s="543">
        <f t="shared" si="10"/>
        <v>1182596.4837743356</v>
      </c>
    </row>
    <row r="272" spans="17:20" x14ac:dyDescent="0.35">
      <c r="Q272" s="526">
        <v>249</v>
      </c>
      <c r="R272" s="526">
        <f t="shared" si="11"/>
        <v>2692.9841028684837</v>
      </c>
      <c r="T272" s="543">
        <f t="shared" si="10"/>
        <v>1193191.397663052</v>
      </c>
    </row>
    <row r="273" spans="17:20" x14ac:dyDescent="0.35">
      <c r="Q273" s="526">
        <v>250</v>
      </c>
      <c r="R273" s="526">
        <f t="shared" si="11"/>
        <v>2692.9841028684837</v>
      </c>
      <c r="T273" s="543">
        <f t="shared" si="10"/>
        <v>1203856.9443110265</v>
      </c>
    </row>
    <row r="274" spans="17:20" x14ac:dyDescent="0.35">
      <c r="Q274" s="526">
        <v>251</v>
      </c>
      <c r="R274" s="526">
        <f t="shared" si="11"/>
        <v>2692.9841028684837</v>
      </c>
      <c r="T274" s="543">
        <f t="shared" si="10"/>
        <v>1214593.5946033208</v>
      </c>
    </row>
    <row r="275" spans="17:20" x14ac:dyDescent="0.35">
      <c r="Q275" s="526">
        <v>252</v>
      </c>
      <c r="R275" s="526">
        <f t="shared" si="11"/>
        <v>2692.9841028684837</v>
      </c>
      <c r="T275" s="543">
        <f t="shared" si="10"/>
        <v>1225401.8225642305</v>
      </c>
    </row>
    <row r="276" spans="17:20" x14ac:dyDescent="0.35">
      <c r="Q276" s="526">
        <v>253</v>
      </c>
      <c r="R276" s="526">
        <f t="shared" si="11"/>
        <v>2773.7736259545381</v>
      </c>
      <c r="T276" s="543">
        <f t="shared" si="10"/>
        <v>1236363.4334981195</v>
      </c>
    </row>
    <row r="277" spans="17:20" x14ac:dyDescent="0.35">
      <c r="Q277" s="526">
        <v>254</v>
      </c>
      <c r="R277" s="526">
        <f t="shared" si="11"/>
        <v>2773.7736259545381</v>
      </c>
      <c r="T277" s="543">
        <f t="shared" si="10"/>
        <v>1247398.1218382344</v>
      </c>
    </row>
    <row r="278" spans="17:20" x14ac:dyDescent="0.35">
      <c r="Q278" s="526">
        <v>255</v>
      </c>
      <c r="R278" s="526">
        <f t="shared" si="11"/>
        <v>2773.7736259545381</v>
      </c>
      <c r="T278" s="543">
        <f t="shared" ref="T278:T341" si="12">(T277+R278)*(1+$T$19)</f>
        <v>1258506.3747672834</v>
      </c>
    </row>
    <row r="279" spans="17:20" x14ac:dyDescent="0.35">
      <c r="Q279" s="526">
        <v>256</v>
      </c>
      <c r="R279" s="526">
        <f t="shared" si="11"/>
        <v>2773.7736259545381</v>
      </c>
      <c r="T279" s="543">
        <f t="shared" si="12"/>
        <v>1269688.6827158595</v>
      </c>
    </row>
    <row r="280" spans="17:20" x14ac:dyDescent="0.35">
      <c r="Q280" s="526">
        <v>257</v>
      </c>
      <c r="R280" s="526">
        <f t="shared" si="11"/>
        <v>2773.7736259545381</v>
      </c>
      <c r="T280" s="543">
        <f t="shared" si="12"/>
        <v>1280945.5393840927</v>
      </c>
    </row>
    <row r="281" spans="17:20" x14ac:dyDescent="0.35">
      <c r="Q281" s="526">
        <v>258</v>
      </c>
      <c r="R281" s="526">
        <f t="shared" si="11"/>
        <v>2773.7736259545381</v>
      </c>
      <c r="T281" s="543">
        <f t="shared" si="12"/>
        <v>1292277.4417634474</v>
      </c>
    </row>
    <row r="282" spans="17:20" x14ac:dyDescent="0.35">
      <c r="Q282" s="526">
        <v>259</v>
      </c>
      <c r="R282" s="526">
        <f t="shared" si="11"/>
        <v>2773.7736259545381</v>
      </c>
      <c r="T282" s="543">
        <f t="shared" si="12"/>
        <v>1303684.8901586644</v>
      </c>
    </row>
    <row r="283" spans="17:20" x14ac:dyDescent="0.35">
      <c r="Q283" s="526">
        <v>260</v>
      </c>
      <c r="R283" s="526">
        <f t="shared" si="11"/>
        <v>2773.7736259545381</v>
      </c>
      <c r="T283" s="543">
        <f t="shared" si="12"/>
        <v>1315168.3882098496</v>
      </c>
    </row>
    <row r="284" spans="17:20" x14ac:dyDescent="0.35">
      <c r="Q284" s="526">
        <v>261</v>
      </c>
      <c r="R284" s="526">
        <f t="shared" si="11"/>
        <v>2773.7736259545381</v>
      </c>
      <c r="T284" s="543">
        <f t="shared" si="12"/>
        <v>1326728.4429147094</v>
      </c>
    </row>
    <row r="285" spans="17:20" x14ac:dyDescent="0.35">
      <c r="Q285" s="526">
        <v>262</v>
      </c>
      <c r="R285" s="526">
        <f t="shared" si="11"/>
        <v>2773.7736259545381</v>
      </c>
      <c r="T285" s="543">
        <f t="shared" si="12"/>
        <v>1338365.5646509349</v>
      </c>
    </row>
    <row r="286" spans="17:20" x14ac:dyDescent="0.35">
      <c r="Q286" s="526">
        <v>263</v>
      </c>
      <c r="R286" s="526">
        <f t="shared" si="11"/>
        <v>2773.7736259545381</v>
      </c>
      <c r="T286" s="543">
        <f t="shared" si="12"/>
        <v>1350080.2671987351</v>
      </c>
    </row>
    <row r="287" spans="17:20" x14ac:dyDescent="0.35">
      <c r="Q287" s="526">
        <v>264</v>
      </c>
      <c r="R287" s="526">
        <f t="shared" si="11"/>
        <v>2773.7736259545381</v>
      </c>
      <c r="T287" s="543">
        <f t="shared" si="12"/>
        <v>1361873.0677635209</v>
      </c>
    </row>
    <row r="288" spans="17:20" x14ac:dyDescent="0.35">
      <c r="Q288" s="526">
        <v>265</v>
      </c>
      <c r="R288" s="526">
        <f t="shared" si="11"/>
        <v>2856.9868347331744</v>
      </c>
      <c r="T288" s="543">
        <f t="shared" si="12"/>
        <v>1373828.2549622424</v>
      </c>
    </row>
    <row r="289" spans="17:20" x14ac:dyDescent="0.35">
      <c r="Q289" s="526">
        <v>266</v>
      </c>
      <c r="R289" s="526">
        <f t="shared" si="11"/>
        <v>2856.9868347331744</v>
      </c>
      <c r="T289" s="543">
        <f t="shared" si="12"/>
        <v>1385863.1434089555</v>
      </c>
    </row>
    <row r="290" spans="17:20" x14ac:dyDescent="0.35">
      <c r="Q290" s="526">
        <v>267</v>
      </c>
      <c r="R290" s="526">
        <f t="shared" si="11"/>
        <v>2856.9868347331744</v>
      </c>
      <c r="T290" s="543">
        <f t="shared" si="12"/>
        <v>1397978.2644453133</v>
      </c>
    </row>
    <row r="291" spans="17:20" x14ac:dyDescent="0.35">
      <c r="Q291" s="526">
        <v>268</v>
      </c>
      <c r="R291" s="526">
        <f t="shared" si="11"/>
        <v>2856.9868347331744</v>
      </c>
      <c r="T291" s="543">
        <f t="shared" si="12"/>
        <v>1410174.1529552469</v>
      </c>
    </row>
    <row r="292" spans="17:20" x14ac:dyDescent="0.35">
      <c r="Q292" s="526">
        <v>269</v>
      </c>
      <c r="R292" s="526">
        <f t="shared" si="11"/>
        <v>2856.9868347331744</v>
      </c>
      <c r="T292" s="543">
        <f t="shared" si="12"/>
        <v>1422451.34738858</v>
      </c>
    </row>
    <row r="293" spans="17:20" x14ac:dyDescent="0.35">
      <c r="Q293" s="526">
        <v>270</v>
      </c>
      <c r="R293" s="526">
        <f t="shared" si="11"/>
        <v>2856.9868347331744</v>
      </c>
      <c r="T293" s="543">
        <f t="shared" si="12"/>
        <v>1434810.389784802</v>
      </c>
    </row>
    <row r="294" spans="17:20" x14ac:dyDescent="0.35">
      <c r="Q294" s="526">
        <v>271</v>
      </c>
      <c r="R294" s="526">
        <f t="shared" si="11"/>
        <v>2856.9868347331744</v>
      </c>
      <c r="T294" s="543">
        <f t="shared" si="12"/>
        <v>1447251.8257969988</v>
      </c>
    </row>
    <row r="295" spans="17:20" x14ac:dyDescent="0.35">
      <c r="Q295" s="526">
        <v>272</v>
      </c>
      <c r="R295" s="526">
        <f t="shared" si="11"/>
        <v>2856.9868347331744</v>
      </c>
      <c r="T295" s="543">
        <f t="shared" si="12"/>
        <v>1459776.2047159434</v>
      </c>
    </row>
    <row r="296" spans="17:20" x14ac:dyDescent="0.35">
      <c r="Q296" s="526">
        <v>273</v>
      </c>
      <c r="R296" s="526">
        <f t="shared" ref="R296:R359" si="13">R284*(1+$R$19)</f>
        <v>2856.9868347331744</v>
      </c>
      <c r="T296" s="543">
        <f t="shared" si="12"/>
        <v>1472384.0794943478</v>
      </c>
    </row>
    <row r="297" spans="17:20" x14ac:dyDescent="0.35">
      <c r="Q297" s="526">
        <v>274</v>
      </c>
      <c r="R297" s="526">
        <f t="shared" si="13"/>
        <v>2856.9868347331744</v>
      </c>
      <c r="T297" s="543">
        <f t="shared" si="12"/>
        <v>1485076.0067712748</v>
      </c>
    </row>
    <row r="298" spans="17:20" x14ac:dyDescent="0.35">
      <c r="Q298" s="526">
        <v>275</v>
      </c>
      <c r="R298" s="526">
        <f t="shared" si="13"/>
        <v>2856.9868347331744</v>
      </c>
      <c r="T298" s="543">
        <f t="shared" si="12"/>
        <v>1497852.5468967147</v>
      </c>
    </row>
    <row r="299" spans="17:20" x14ac:dyDescent="0.35">
      <c r="Q299" s="526">
        <v>276</v>
      </c>
      <c r="R299" s="526">
        <f t="shared" si="13"/>
        <v>2856.9868347331744</v>
      </c>
      <c r="T299" s="543">
        <f t="shared" si="12"/>
        <v>1510714.2639563242</v>
      </c>
    </row>
    <row r="300" spans="17:20" x14ac:dyDescent="0.35">
      <c r="Q300" s="526">
        <v>277</v>
      </c>
      <c r="R300" s="526">
        <f t="shared" si="13"/>
        <v>2942.6964397751699</v>
      </c>
      <c r="T300" s="543">
        <f t="shared" si="12"/>
        <v>1523748.00679874</v>
      </c>
    </row>
    <row r="301" spans="17:20" x14ac:dyDescent="0.35">
      <c r="Q301" s="526">
        <v>278</v>
      </c>
      <c r="R301" s="526">
        <f t="shared" si="13"/>
        <v>2942.6964397751699</v>
      </c>
      <c r="T301" s="543">
        <f t="shared" si="12"/>
        <v>1536868.6412601052</v>
      </c>
    </row>
    <row r="302" spans="17:20" x14ac:dyDescent="0.35">
      <c r="Q302" s="526">
        <v>279</v>
      </c>
      <c r="R302" s="526">
        <f t="shared" si="13"/>
        <v>2942.6964397751699</v>
      </c>
      <c r="T302" s="543">
        <f t="shared" si="12"/>
        <v>1550076.7466178795</v>
      </c>
    </row>
    <row r="303" spans="17:20" x14ac:dyDescent="0.35">
      <c r="Q303" s="526">
        <v>280</v>
      </c>
      <c r="R303" s="526">
        <f t="shared" si="13"/>
        <v>2942.6964397751699</v>
      </c>
      <c r="T303" s="543">
        <f t="shared" si="12"/>
        <v>1563372.9060113723</v>
      </c>
    </row>
    <row r="304" spans="17:20" x14ac:dyDescent="0.35">
      <c r="Q304" s="526">
        <v>281</v>
      </c>
      <c r="R304" s="526">
        <f t="shared" si="13"/>
        <v>2942.6964397751699</v>
      </c>
      <c r="T304" s="543">
        <f t="shared" si="12"/>
        <v>1576757.7064674883</v>
      </c>
    </row>
    <row r="305" spans="17:20" x14ac:dyDescent="0.35">
      <c r="Q305" s="526">
        <v>282</v>
      </c>
      <c r="R305" s="526">
        <f t="shared" si="13"/>
        <v>2942.6964397751699</v>
      </c>
      <c r="T305" s="543">
        <f t="shared" si="12"/>
        <v>1590231.7389266451</v>
      </c>
    </row>
    <row r="306" spans="17:20" x14ac:dyDescent="0.35">
      <c r="Q306" s="526">
        <v>283</v>
      </c>
      <c r="R306" s="526">
        <f t="shared" si="13"/>
        <v>2942.6964397751699</v>
      </c>
      <c r="T306" s="543">
        <f t="shared" si="12"/>
        <v>1603795.598268863</v>
      </c>
    </row>
    <row r="307" spans="17:20" x14ac:dyDescent="0.35">
      <c r="Q307" s="526">
        <v>284</v>
      </c>
      <c r="R307" s="526">
        <f t="shared" si="13"/>
        <v>2942.6964397751699</v>
      </c>
      <c r="T307" s="543">
        <f t="shared" si="12"/>
        <v>1617449.883340029</v>
      </c>
    </row>
    <row r="308" spans="17:20" x14ac:dyDescent="0.35">
      <c r="Q308" s="526">
        <v>285</v>
      </c>
      <c r="R308" s="526">
        <f t="shared" si="13"/>
        <v>2942.6964397751699</v>
      </c>
      <c r="T308" s="543">
        <f t="shared" si="12"/>
        <v>1631195.1969783362</v>
      </c>
    </row>
    <row r="309" spans="17:20" x14ac:dyDescent="0.35">
      <c r="Q309" s="526">
        <v>286</v>
      </c>
      <c r="R309" s="526">
        <f t="shared" si="13"/>
        <v>2942.6964397751699</v>
      </c>
      <c r="T309" s="543">
        <f t="shared" si="12"/>
        <v>1645032.1460408987</v>
      </c>
    </row>
    <row r="310" spans="17:20" x14ac:dyDescent="0.35">
      <c r="Q310" s="526">
        <v>287</v>
      </c>
      <c r="R310" s="526">
        <f t="shared" si="13"/>
        <v>2942.6964397751699</v>
      </c>
      <c r="T310" s="543">
        <f t="shared" si="12"/>
        <v>1658961.3414305449</v>
      </c>
    </row>
    <row r="311" spans="17:20" x14ac:dyDescent="0.35">
      <c r="Q311" s="526">
        <v>288</v>
      </c>
      <c r="R311" s="526">
        <f t="shared" si="13"/>
        <v>2942.6964397751699</v>
      </c>
      <c r="T311" s="543">
        <f t="shared" si="12"/>
        <v>1672983.3981227886</v>
      </c>
    </row>
    <row r="312" spans="17:20" x14ac:dyDescent="0.35">
      <c r="Q312" s="526">
        <v>289</v>
      </c>
      <c r="R312" s="526">
        <f t="shared" si="13"/>
        <v>3030.9773329684249</v>
      </c>
      <c r="T312" s="543">
        <f t="shared" si="12"/>
        <v>1687187.804625462</v>
      </c>
    </row>
    <row r="313" spans="17:20" x14ac:dyDescent="0.35">
      <c r="Q313" s="526">
        <v>290</v>
      </c>
      <c r="R313" s="526">
        <f t="shared" si="13"/>
        <v>3030.9773329684249</v>
      </c>
      <c r="T313" s="543">
        <f t="shared" si="12"/>
        <v>1701486.9071714866</v>
      </c>
    </row>
    <row r="314" spans="17:20" x14ac:dyDescent="0.35">
      <c r="Q314" s="526">
        <v>291</v>
      </c>
      <c r="R314" s="526">
        <f t="shared" si="13"/>
        <v>3030.9773329684249</v>
      </c>
      <c r="T314" s="543">
        <f t="shared" si="12"/>
        <v>1715881.337067818</v>
      </c>
    </row>
    <row r="315" spans="17:20" x14ac:dyDescent="0.35">
      <c r="Q315" s="526">
        <v>292</v>
      </c>
      <c r="R315" s="526">
        <f t="shared" si="13"/>
        <v>3030.9773329684249</v>
      </c>
      <c r="T315" s="543">
        <f t="shared" si="12"/>
        <v>1730371.7298301249</v>
      </c>
    </row>
    <row r="316" spans="17:20" x14ac:dyDescent="0.35">
      <c r="Q316" s="526">
        <v>293</v>
      </c>
      <c r="R316" s="526">
        <f t="shared" si="13"/>
        <v>3030.9773329684249</v>
      </c>
      <c r="T316" s="543">
        <f t="shared" si="12"/>
        <v>1744958.7252108471</v>
      </c>
    </row>
    <row r="317" spans="17:20" x14ac:dyDescent="0.35">
      <c r="Q317" s="526">
        <v>294</v>
      </c>
      <c r="R317" s="526">
        <f t="shared" si="13"/>
        <v>3030.9773329684249</v>
      </c>
      <c r="T317" s="543">
        <f t="shared" si="12"/>
        <v>1759642.967227441</v>
      </c>
    </row>
    <row r="318" spans="17:20" x14ac:dyDescent="0.35">
      <c r="Q318" s="526">
        <v>295</v>
      </c>
      <c r="R318" s="526">
        <f t="shared" si="13"/>
        <v>3030.9773329684249</v>
      </c>
      <c r="T318" s="543">
        <f t="shared" si="12"/>
        <v>1774425.1041908122</v>
      </c>
    </row>
    <row r="319" spans="17:20" x14ac:dyDescent="0.35">
      <c r="Q319" s="526">
        <v>296</v>
      </c>
      <c r="R319" s="526">
        <f t="shared" si="13"/>
        <v>3030.9773329684249</v>
      </c>
      <c r="T319" s="543">
        <f t="shared" si="12"/>
        <v>1789305.7887339392</v>
      </c>
    </row>
    <row r="320" spans="17:20" x14ac:dyDescent="0.35">
      <c r="Q320" s="526">
        <v>297</v>
      </c>
      <c r="R320" s="526">
        <f t="shared" si="13"/>
        <v>3030.9773329684249</v>
      </c>
      <c r="T320" s="543">
        <f t="shared" si="12"/>
        <v>1804285.6778406869</v>
      </c>
    </row>
    <row r="321" spans="17:20" x14ac:dyDescent="0.35">
      <c r="Q321" s="526">
        <v>298</v>
      </c>
      <c r="R321" s="526">
        <f t="shared" si="13"/>
        <v>3030.9773329684249</v>
      </c>
      <c r="T321" s="543">
        <f t="shared" si="12"/>
        <v>1819365.432874813</v>
      </c>
    </row>
    <row r="322" spans="17:20" x14ac:dyDescent="0.35">
      <c r="Q322" s="526">
        <v>299</v>
      </c>
      <c r="R322" s="526">
        <f t="shared" si="13"/>
        <v>3030.9773329684249</v>
      </c>
      <c r="T322" s="543">
        <f t="shared" si="12"/>
        <v>1834545.7196091665</v>
      </c>
    </row>
    <row r="323" spans="17:20" x14ac:dyDescent="0.35">
      <c r="Q323" s="526">
        <v>300</v>
      </c>
      <c r="R323" s="526">
        <f t="shared" si="13"/>
        <v>3030.9773329684249</v>
      </c>
      <c r="T323" s="543">
        <f t="shared" si="12"/>
        <v>1849827.2082550824</v>
      </c>
    </row>
    <row r="324" spans="17:20" x14ac:dyDescent="0.35">
      <c r="Q324" s="526">
        <v>301</v>
      </c>
      <c r="R324" s="526">
        <f t="shared" si="13"/>
        <v>3121.9066529574775</v>
      </c>
      <c r="T324" s="543">
        <f t="shared" si="12"/>
        <v>1865302.1090074265</v>
      </c>
    </row>
    <row r="325" spans="17:20" x14ac:dyDescent="0.35">
      <c r="Q325" s="526">
        <v>302</v>
      </c>
      <c r="R325" s="526">
        <f t="shared" si="13"/>
        <v>3121.9066529574775</v>
      </c>
      <c r="T325" s="543">
        <f t="shared" si="12"/>
        <v>1880880.1757647863</v>
      </c>
    </row>
    <row r="326" spans="17:20" x14ac:dyDescent="0.35">
      <c r="Q326" s="526">
        <v>303</v>
      </c>
      <c r="R326" s="526">
        <f t="shared" si="13"/>
        <v>3121.9066529574775</v>
      </c>
      <c r="T326" s="543">
        <f t="shared" si="12"/>
        <v>1896562.0963005286</v>
      </c>
    </row>
    <row r="327" spans="17:20" x14ac:dyDescent="0.35">
      <c r="Q327" s="526">
        <v>304</v>
      </c>
      <c r="R327" s="526">
        <f t="shared" si="13"/>
        <v>3121.9066529574775</v>
      </c>
      <c r="T327" s="543">
        <f t="shared" si="12"/>
        <v>1912348.5629731759</v>
      </c>
    </row>
    <row r="328" spans="17:20" x14ac:dyDescent="0.35">
      <c r="Q328" s="526">
        <v>305</v>
      </c>
      <c r="R328" s="526">
        <f t="shared" si="13"/>
        <v>3121.9066529574775</v>
      </c>
      <c r="T328" s="543">
        <f t="shared" si="12"/>
        <v>1928240.272756974</v>
      </c>
    </row>
    <row r="329" spans="17:20" x14ac:dyDescent="0.35">
      <c r="Q329" s="526">
        <v>306</v>
      </c>
      <c r="R329" s="526">
        <f t="shared" si="13"/>
        <v>3121.9066529574775</v>
      </c>
      <c r="T329" s="543">
        <f t="shared" si="12"/>
        <v>1944237.9272726642</v>
      </c>
    </row>
    <row r="330" spans="17:20" x14ac:dyDescent="0.35">
      <c r="Q330" s="526">
        <v>307</v>
      </c>
      <c r="R330" s="526">
        <f t="shared" si="13"/>
        <v>3121.9066529574775</v>
      </c>
      <c r="T330" s="543">
        <f t="shared" si="12"/>
        <v>1960342.2328184589</v>
      </c>
    </row>
    <row r="331" spans="17:20" x14ac:dyDescent="0.35">
      <c r="Q331" s="526">
        <v>308</v>
      </c>
      <c r="R331" s="526">
        <f t="shared" si="13"/>
        <v>3121.9066529574775</v>
      </c>
      <c r="T331" s="543">
        <f t="shared" si="12"/>
        <v>1976553.9004012258</v>
      </c>
    </row>
    <row r="332" spans="17:20" x14ac:dyDescent="0.35">
      <c r="Q332" s="526">
        <v>309</v>
      </c>
      <c r="R332" s="526">
        <f t="shared" si="13"/>
        <v>3121.9066529574775</v>
      </c>
      <c r="T332" s="543">
        <f t="shared" si="12"/>
        <v>1992873.6457678776</v>
      </c>
    </row>
    <row r="333" spans="17:20" x14ac:dyDescent="0.35">
      <c r="Q333" s="526">
        <v>310</v>
      </c>
      <c r="R333" s="526">
        <f t="shared" si="13"/>
        <v>3121.9066529574775</v>
      </c>
      <c r="T333" s="543">
        <f t="shared" si="12"/>
        <v>2009302.1894369738</v>
      </c>
    </row>
    <row r="334" spans="17:20" x14ac:dyDescent="0.35">
      <c r="Q334" s="526">
        <v>311</v>
      </c>
      <c r="R334" s="526">
        <f t="shared" si="13"/>
        <v>3121.9066529574775</v>
      </c>
      <c r="T334" s="543">
        <f t="shared" si="12"/>
        <v>2025840.2567305306</v>
      </c>
    </row>
    <row r="335" spans="17:20" x14ac:dyDescent="0.35">
      <c r="Q335" s="526">
        <v>312</v>
      </c>
      <c r="R335" s="526">
        <f t="shared" si="13"/>
        <v>3121.9066529574775</v>
      </c>
      <c r="T335" s="543">
        <f t="shared" si="12"/>
        <v>2042488.5778060446</v>
      </c>
    </row>
    <row r="336" spans="17:20" x14ac:dyDescent="0.35">
      <c r="Q336" s="526">
        <v>313</v>
      </c>
      <c r="R336" s="526">
        <f t="shared" si="13"/>
        <v>3215.5638525462018</v>
      </c>
      <c r="T336" s="543">
        <f t="shared" si="12"/>
        <v>2059342.1692696479</v>
      </c>
    </row>
    <row r="337" spans="17:20" x14ac:dyDescent="0.35">
      <c r="Q337" s="526">
        <v>314</v>
      </c>
      <c r="R337" s="526">
        <f t="shared" si="13"/>
        <v>3215.5638525462018</v>
      </c>
      <c r="T337" s="543">
        <f t="shared" si="12"/>
        <v>2076308.1180096753</v>
      </c>
    </row>
    <row r="338" spans="17:20" x14ac:dyDescent="0.35">
      <c r="Q338" s="526">
        <v>315</v>
      </c>
      <c r="R338" s="526">
        <f t="shared" si="13"/>
        <v>3215.5638525462018</v>
      </c>
      <c r="T338" s="543">
        <f t="shared" si="12"/>
        <v>2093387.1730746361</v>
      </c>
    </row>
    <row r="339" spans="17:20" x14ac:dyDescent="0.35">
      <c r="Q339" s="526">
        <v>316</v>
      </c>
      <c r="R339" s="526">
        <f t="shared" si="13"/>
        <v>3215.5638525462018</v>
      </c>
      <c r="T339" s="543">
        <f t="shared" si="12"/>
        <v>2110580.0885066967</v>
      </c>
    </row>
    <row r="340" spans="17:20" x14ac:dyDescent="0.35">
      <c r="Q340" s="526">
        <v>317</v>
      </c>
      <c r="R340" s="526">
        <f t="shared" si="13"/>
        <v>3215.5638525462018</v>
      </c>
      <c r="T340" s="543">
        <f t="shared" si="12"/>
        <v>2127887.6233749711</v>
      </c>
    </row>
    <row r="341" spans="17:20" x14ac:dyDescent="0.35">
      <c r="Q341" s="526">
        <v>318</v>
      </c>
      <c r="R341" s="526">
        <f t="shared" si="13"/>
        <v>3215.5638525462018</v>
      </c>
      <c r="T341" s="543">
        <f t="shared" si="12"/>
        <v>2145310.5418090341</v>
      </c>
    </row>
    <row r="342" spans="17:20" x14ac:dyDescent="0.35">
      <c r="Q342" s="526">
        <v>319</v>
      </c>
      <c r="R342" s="526">
        <f t="shared" si="13"/>
        <v>3215.5638525462018</v>
      </c>
      <c r="T342" s="543">
        <f t="shared" ref="T342:T405" si="14">(T341+R342)*(1+$T$19)</f>
        <v>2162849.6130326572</v>
      </c>
    </row>
    <row r="343" spans="17:20" x14ac:dyDescent="0.35">
      <c r="Q343" s="526">
        <v>320</v>
      </c>
      <c r="R343" s="526">
        <f t="shared" si="13"/>
        <v>3215.5638525462018</v>
      </c>
      <c r="T343" s="543">
        <f t="shared" si="14"/>
        <v>2180505.6113977712</v>
      </c>
    </row>
    <row r="344" spans="17:20" x14ac:dyDescent="0.35">
      <c r="Q344" s="526">
        <v>321</v>
      </c>
      <c r="R344" s="526">
        <f t="shared" si="13"/>
        <v>3215.5638525462018</v>
      </c>
      <c r="T344" s="543">
        <f t="shared" si="14"/>
        <v>2198279.3164186529</v>
      </c>
    </row>
    <row r="345" spans="17:20" x14ac:dyDescent="0.35">
      <c r="Q345" s="526">
        <v>322</v>
      </c>
      <c r="R345" s="526">
        <f t="shared" si="13"/>
        <v>3215.5638525462018</v>
      </c>
      <c r="T345" s="543">
        <f t="shared" si="14"/>
        <v>2216171.5128063401</v>
      </c>
    </row>
    <row r="346" spans="17:20" x14ac:dyDescent="0.35">
      <c r="Q346" s="526">
        <v>323</v>
      </c>
      <c r="R346" s="526">
        <f t="shared" si="13"/>
        <v>3215.5638525462018</v>
      </c>
      <c r="T346" s="543">
        <f t="shared" si="14"/>
        <v>2234182.990503279</v>
      </c>
    </row>
    <row r="347" spans="17:20" x14ac:dyDescent="0.35">
      <c r="Q347" s="526">
        <v>324</v>
      </c>
      <c r="R347" s="526">
        <f t="shared" si="13"/>
        <v>3215.5638525462018</v>
      </c>
      <c r="T347" s="543">
        <f t="shared" si="14"/>
        <v>2252314.5447181971</v>
      </c>
    </row>
    <row r="348" spans="17:20" x14ac:dyDescent="0.35">
      <c r="Q348" s="526">
        <v>325</v>
      </c>
      <c r="R348" s="526">
        <f t="shared" si="13"/>
        <v>3312.0307681225881</v>
      </c>
      <c r="T348" s="543">
        <f t="shared" si="14"/>
        <v>2270664.0859895614</v>
      </c>
    </row>
    <row r="349" spans="17:20" x14ac:dyDescent="0.35">
      <c r="Q349" s="526">
        <v>326</v>
      </c>
      <c r="R349" s="526">
        <f t="shared" si="13"/>
        <v>3312.0307681225881</v>
      </c>
      <c r="T349" s="543">
        <f t="shared" si="14"/>
        <v>2289135.9575360683</v>
      </c>
    </row>
    <row r="350" spans="17:20" x14ac:dyDescent="0.35">
      <c r="Q350" s="526">
        <v>327</v>
      </c>
      <c r="R350" s="526">
        <f t="shared" si="13"/>
        <v>3312.0307681225881</v>
      </c>
      <c r="T350" s="543">
        <f t="shared" si="14"/>
        <v>2307730.9748928854</v>
      </c>
    </row>
    <row r="351" spans="17:20" x14ac:dyDescent="0.35">
      <c r="Q351" s="526">
        <v>328</v>
      </c>
      <c r="R351" s="526">
        <f t="shared" si="13"/>
        <v>3312.0307681225881</v>
      </c>
      <c r="T351" s="543">
        <f t="shared" si="14"/>
        <v>2326449.9590320811</v>
      </c>
    </row>
    <row r="352" spans="17:20" x14ac:dyDescent="0.35">
      <c r="Q352" s="526">
        <v>329</v>
      </c>
      <c r="R352" s="526">
        <f t="shared" si="13"/>
        <v>3312.0307681225881</v>
      </c>
      <c r="T352" s="543">
        <f t="shared" si="14"/>
        <v>2345293.7363988715</v>
      </c>
    </row>
    <row r="353" spans="17:20" x14ac:dyDescent="0.35">
      <c r="Q353" s="526">
        <v>330</v>
      </c>
      <c r="R353" s="526">
        <f t="shared" si="13"/>
        <v>3312.0307681225881</v>
      </c>
      <c r="T353" s="543">
        <f t="shared" si="14"/>
        <v>2364263.1389481071</v>
      </c>
    </row>
    <row r="354" spans="17:20" x14ac:dyDescent="0.35">
      <c r="Q354" s="526">
        <v>331</v>
      </c>
      <c r="R354" s="526">
        <f t="shared" si="13"/>
        <v>3312.0307681225881</v>
      </c>
      <c r="T354" s="543">
        <f t="shared" si="14"/>
        <v>2383359.0041810046</v>
      </c>
    </row>
    <row r="355" spans="17:20" x14ac:dyDescent="0.35">
      <c r="Q355" s="526">
        <v>332</v>
      </c>
      <c r="R355" s="526">
        <f t="shared" si="13"/>
        <v>3312.0307681225881</v>
      </c>
      <c r="T355" s="543">
        <f t="shared" si="14"/>
        <v>2402582.1751821213</v>
      </c>
    </row>
    <row r="356" spans="17:20" x14ac:dyDescent="0.35">
      <c r="Q356" s="526">
        <v>333</v>
      </c>
      <c r="R356" s="526">
        <f t="shared" si="13"/>
        <v>3312.0307681225881</v>
      </c>
      <c r="T356" s="543">
        <f t="shared" si="14"/>
        <v>2421933.5006565787</v>
      </c>
    </row>
    <row r="357" spans="17:20" x14ac:dyDescent="0.35">
      <c r="Q357" s="526">
        <v>334</v>
      </c>
      <c r="R357" s="526">
        <f t="shared" si="13"/>
        <v>3312.0307681225881</v>
      </c>
      <c r="T357" s="543">
        <f t="shared" si="14"/>
        <v>2441413.8349675322</v>
      </c>
    </row>
    <row r="358" spans="17:20" x14ac:dyDescent="0.35">
      <c r="Q358" s="526">
        <v>335</v>
      </c>
      <c r="R358" s="526">
        <f t="shared" si="13"/>
        <v>3312.0307681225881</v>
      </c>
      <c r="T358" s="543">
        <f t="shared" si="14"/>
        <v>2461024.0381738921</v>
      </c>
    </row>
    <row r="359" spans="17:20" x14ac:dyDescent="0.35">
      <c r="Q359" s="526">
        <v>336</v>
      </c>
      <c r="R359" s="526">
        <f t="shared" si="13"/>
        <v>3312.0307681225881</v>
      </c>
      <c r="T359" s="543">
        <f t="shared" si="14"/>
        <v>2480764.9760682946</v>
      </c>
    </row>
    <row r="360" spans="17:20" x14ac:dyDescent="0.35">
      <c r="Q360" s="526">
        <v>337</v>
      </c>
      <c r="R360" s="526">
        <f t="shared" ref="R360:R423" si="15">R348*(1+$R$19)</f>
        <v>3411.3916911662659</v>
      </c>
      <c r="T360" s="543">
        <f t="shared" si="14"/>
        <v>2500737.5435445239</v>
      </c>
    </row>
    <row r="361" spans="17:20" x14ac:dyDescent="0.35">
      <c r="Q361" s="526">
        <v>338</v>
      </c>
      <c r="R361" s="526">
        <f t="shared" si="15"/>
        <v>3411.3916911662659</v>
      </c>
      <c r="T361" s="543">
        <f t="shared" si="14"/>
        <v>2520843.2614705949</v>
      </c>
    </row>
    <row r="362" spans="17:20" x14ac:dyDescent="0.35">
      <c r="Q362" s="526">
        <v>339</v>
      </c>
      <c r="R362" s="526">
        <f t="shared" si="15"/>
        <v>3411.3916911662659</v>
      </c>
      <c r="T362" s="543">
        <f t="shared" si="14"/>
        <v>2541083.017516173</v>
      </c>
    </row>
    <row r="363" spans="17:20" x14ac:dyDescent="0.35">
      <c r="Q363" s="526">
        <v>340</v>
      </c>
      <c r="R363" s="526">
        <f t="shared" si="15"/>
        <v>3411.3916911662659</v>
      </c>
      <c r="T363" s="543">
        <f t="shared" si="14"/>
        <v>2561457.7052687216</v>
      </c>
    </row>
    <row r="364" spans="17:20" x14ac:dyDescent="0.35">
      <c r="Q364" s="526">
        <v>341</v>
      </c>
      <c r="R364" s="526">
        <f t="shared" si="15"/>
        <v>3411.3916911662659</v>
      </c>
      <c r="T364" s="543">
        <f t="shared" si="14"/>
        <v>2581968.2242729538</v>
      </c>
    </row>
    <row r="365" spans="17:20" x14ac:dyDescent="0.35">
      <c r="Q365" s="526">
        <v>342</v>
      </c>
      <c r="R365" s="526">
        <f t="shared" si="15"/>
        <v>3411.3916911662659</v>
      </c>
      <c r="T365" s="543">
        <f t="shared" si="14"/>
        <v>2602615.4800705477</v>
      </c>
    </row>
    <row r="366" spans="17:20" x14ac:dyDescent="0.35">
      <c r="Q366" s="526">
        <v>343</v>
      </c>
      <c r="R366" s="526">
        <f t="shared" si="15"/>
        <v>3411.3916911662659</v>
      </c>
      <c r="T366" s="543">
        <f t="shared" si="14"/>
        <v>2623400.3842401253</v>
      </c>
    </row>
    <row r="367" spans="17:20" x14ac:dyDescent="0.35">
      <c r="Q367" s="526">
        <v>344</v>
      </c>
      <c r="R367" s="526">
        <f t="shared" si="15"/>
        <v>3411.3916911662659</v>
      </c>
      <c r="T367" s="543">
        <f t="shared" si="14"/>
        <v>2644323.8544375002</v>
      </c>
    </row>
    <row r="368" spans="17:20" x14ac:dyDescent="0.35">
      <c r="Q368" s="526">
        <v>345</v>
      </c>
      <c r="R368" s="526">
        <f t="shared" si="15"/>
        <v>3411.3916911662659</v>
      </c>
      <c r="T368" s="543">
        <f t="shared" si="14"/>
        <v>2665386.8144361908</v>
      </c>
    </row>
    <row r="369" spans="17:20" x14ac:dyDescent="0.35">
      <c r="Q369" s="526">
        <v>346</v>
      </c>
      <c r="R369" s="526">
        <f t="shared" si="15"/>
        <v>3411.3916911662659</v>
      </c>
      <c r="T369" s="543">
        <f t="shared" si="14"/>
        <v>2686590.1941682058</v>
      </c>
    </row>
    <row r="370" spans="17:20" x14ac:dyDescent="0.35">
      <c r="Q370" s="526">
        <v>347</v>
      </c>
      <c r="R370" s="526">
        <f t="shared" si="15"/>
        <v>3411.3916911662659</v>
      </c>
      <c r="T370" s="543">
        <f t="shared" si="14"/>
        <v>2707934.9297651011</v>
      </c>
    </row>
    <row r="371" spans="17:20" x14ac:dyDescent="0.35">
      <c r="Q371" s="526">
        <v>348</v>
      </c>
      <c r="R371" s="526">
        <f t="shared" si="15"/>
        <v>3411.3916911662659</v>
      </c>
      <c r="T371" s="543">
        <f t="shared" si="14"/>
        <v>2729421.9635993093</v>
      </c>
    </row>
    <row r="372" spans="17:20" x14ac:dyDescent="0.35">
      <c r="Q372" s="526">
        <v>349</v>
      </c>
      <c r="R372" s="526">
        <f t="shared" si="15"/>
        <v>3513.7334419012541</v>
      </c>
      <c r="T372" s="543">
        <f t="shared" si="14"/>
        <v>2751155.2683548187</v>
      </c>
    </row>
    <row r="373" spans="17:20" x14ac:dyDescent="0.35">
      <c r="Q373" s="526">
        <v>350</v>
      </c>
      <c r="R373" s="526">
        <f t="shared" si="15"/>
        <v>3513.7334419012541</v>
      </c>
      <c r="T373" s="543">
        <f t="shared" si="14"/>
        <v>2773033.4618086983</v>
      </c>
    </row>
    <row r="374" spans="17:20" x14ac:dyDescent="0.35">
      <c r="Q374" s="526">
        <v>351</v>
      </c>
      <c r="R374" s="526">
        <f t="shared" si="15"/>
        <v>3513.7334419012541</v>
      </c>
      <c r="T374" s="543">
        <f t="shared" si="14"/>
        <v>2795057.5098856036</v>
      </c>
    </row>
    <row r="375" spans="17:20" x14ac:dyDescent="0.35">
      <c r="Q375" s="526">
        <v>352</v>
      </c>
      <c r="R375" s="526">
        <f t="shared" si="15"/>
        <v>3513.7334419012541</v>
      </c>
      <c r="T375" s="543">
        <f t="shared" si="14"/>
        <v>2817228.3849496883</v>
      </c>
    </row>
    <row r="376" spans="17:20" x14ac:dyDescent="0.35">
      <c r="Q376" s="526">
        <v>353</v>
      </c>
      <c r="R376" s="526">
        <f t="shared" si="15"/>
        <v>3513.7334419012541</v>
      </c>
      <c r="T376" s="543">
        <f t="shared" si="14"/>
        <v>2839547.0658475333</v>
      </c>
    </row>
    <row r="377" spans="17:20" x14ac:dyDescent="0.35">
      <c r="Q377" s="526">
        <v>354</v>
      </c>
      <c r="R377" s="526">
        <f t="shared" si="15"/>
        <v>3513.7334419012541</v>
      </c>
      <c r="T377" s="543">
        <f t="shared" si="14"/>
        <v>2862014.5379513642</v>
      </c>
    </row>
    <row r="378" spans="17:20" x14ac:dyDescent="0.35">
      <c r="Q378" s="526">
        <v>355</v>
      </c>
      <c r="R378" s="526">
        <f t="shared" si="15"/>
        <v>3513.7334419012541</v>
      </c>
      <c r="T378" s="543">
        <f t="shared" si="14"/>
        <v>2884631.7932025539</v>
      </c>
    </row>
    <row r="379" spans="17:20" x14ac:dyDescent="0.35">
      <c r="Q379" s="526">
        <v>356</v>
      </c>
      <c r="R379" s="526">
        <f t="shared" si="15"/>
        <v>3513.7334419012541</v>
      </c>
      <c r="T379" s="543">
        <f t="shared" si="14"/>
        <v>2907399.8301554183</v>
      </c>
    </row>
    <row r="380" spans="17:20" x14ac:dyDescent="0.35">
      <c r="Q380" s="526">
        <v>357</v>
      </c>
      <c r="R380" s="526">
        <f t="shared" si="15"/>
        <v>3513.7334419012541</v>
      </c>
      <c r="T380" s="543">
        <f t="shared" si="14"/>
        <v>2930319.6540213018</v>
      </c>
    </row>
    <row r="381" spans="17:20" x14ac:dyDescent="0.35">
      <c r="Q381" s="526">
        <v>358</v>
      </c>
      <c r="R381" s="526">
        <f t="shared" si="15"/>
        <v>3513.7334419012541</v>
      </c>
      <c r="T381" s="543">
        <f t="shared" si="14"/>
        <v>2953392.2767129578</v>
      </c>
    </row>
    <row r="382" spans="17:20" x14ac:dyDescent="0.35">
      <c r="Q382" s="526">
        <v>359</v>
      </c>
      <c r="R382" s="526">
        <f t="shared" si="15"/>
        <v>3513.7334419012541</v>
      </c>
      <c r="T382" s="543">
        <f t="shared" si="14"/>
        <v>2976618.7168892245</v>
      </c>
    </row>
    <row r="383" spans="17:20" x14ac:dyDescent="0.35">
      <c r="Q383" s="526">
        <v>360</v>
      </c>
      <c r="R383" s="526">
        <f t="shared" si="15"/>
        <v>3513.7334419012541</v>
      </c>
      <c r="T383" s="543">
        <f t="shared" si="14"/>
        <v>3000000</v>
      </c>
    </row>
    <row r="384" spans="17:20" x14ac:dyDescent="0.35">
      <c r="Q384" s="526">
        <v>361</v>
      </c>
      <c r="R384" s="526">
        <f t="shared" si="15"/>
        <v>3619.1454451582917</v>
      </c>
      <c r="T384" s="543">
        <f t="shared" si="14"/>
        <v>3023643.2730814591</v>
      </c>
    </row>
    <row r="385" spans="17:20" x14ac:dyDescent="0.35">
      <c r="Q385" s="526">
        <v>362</v>
      </c>
      <c r="R385" s="526">
        <f t="shared" si="15"/>
        <v>3619.1454451582917</v>
      </c>
      <c r="T385" s="543">
        <f t="shared" si="14"/>
        <v>3047444.1679834612</v>
      </c>
    </row>
    <row r="386" spans="17:20" x14ac:dyDescent="0.35">
      <c r="Q386" s="526">
        <v>363</v>
      </c>
      <c r="R386" s="526">
        <f t="shared" si="15"/>
        <v>3619.1454451582917</v>
      </c>
      <c r="T386" s="543">
        <f t="shared" si="14"/>
        <v>3071403.7355181435</v>
      </c>
    </row>
    <row r="387" spans="17:20" x14ac:dyDescent="0.35">
      <c r="Q387" s="526">
        <v>364</v>
      </c>
      <c r="R387" s="526">
        <f t="shared" si="15"/>
        <v>3619.1454451582917</v>
      </c>
      <c r="T387" s="543">
        <f t="shared" si="14"/>
        <v>3095523.033503057</v>
      </c>
    </row>
    <row r="388" spans="17:20" x14ac:dyDescent="0.35">
      <c r="Q388" s="526">
        <v>365</v>
      </c>
      <c r="R388" s="526">
        <f t="shared" si="15"/>
        <v>3619.1454451582917</v>
      </c>
      <c r="T388" s="543">
        <f t="shared" si="14"/>
        <v>3119803.1268078699</v>
      </c>
    </row>
    <row r="389" spans="17:20" x14ac:dyDescent="0.35">
      <c r="Q389" s="526">
        <v>366</v>
      </c>
      <c r="R389" s="526">
        <f t="shared" si="15"/>
        <v>3619.1454451582917</v>
      </c>
      <c r="T389" s="543">
        <f t="shared" si="14"/>
        <v>3144245.0874013812</v>
      </c>
    </row>
    <row r="390" spans="17:20" x14ac:dyDescent="0.35">
      <c r="Q390" s="526">
        <v>367</v>
      </c>
      <c r="R390" s="526">
        <f t="shared" si="15"/>
        <v>3619.1454451582917</v>
      </c>
      <c r="T390" s="543">
        <f t="shared" si="14"/>
        <v>3168849.9943988496</v>
      </c>
    </row>
    <row r="391" spans="17:20" x14ac:dyDescent="0.35">
      <c r="Q391" s="526">
        <v>368</v>
      </c>
      <c r="R391" s="526">
        <f t="shared" si="15"/>
        <v>3619.1454451582917</v>
      </c>
      <c r="T391" s="543">
        <f t="shared" si="14"/>
        <v>3193618.9341096343</v>
      </c>
    </row>
    <row r="392" spans="17:20" x14ac:dyDescent="0.35">
      <c r="Q392" s="526">
        <v>369</v>
      </c>
      <c r="R392" s="526">
        <f t="shared" si="15"/>
        <v>3619.1454451582917</v>
      </c>
      <c r="T392" s="543">
        <f t="shared" si="14"/>
        <v>3218553.0000851573</v>
      </c>
    </row>
    <row r="393" spans="17:20" x14ac:dyDescent="0.35">
      <c r="Q393" s="526">
        <v>370</v>
      </c>
      <c r="R393" s="526">
        <f t="shared" si="15"/>
        <v>3619.1454451582917</v>
      </c>
      <c r="T393" s="543">
        <f t="shared" si="14"/>
        <v>3243653.2931671841</v>
      </c>
    </row>
    <row r="394" spans="17:20" x14ac:dyDescent="0.35">
      <c r="Q394" s="526">
        <v>371</v>
      </c>
      <c r="R394" s="526">
        <f t="shared" si="15"/>
        <v>3619.1454451582917</v>
      </c>
      <c r="T394" s="543">
        <f t="shared" si="14"/>
        <v>3268920.9215364242</v>
      </c>
    </row>
    <row r="395" spans="17:20" x14ac:dyDescent="0.35">
      <c r="Q395" s="526">
        <v>372</v>
      </c>
      <c r="R395" s="526">
        <f t="shared" si="15"/>
        <v>3619.1454451582917</v>
      </c>
      <c r="T395" s="543">
        <f t="shared" si="14"/>
        <v>3294357.0007614596</v>
      </c>
    </row>
    <row r="396" spans="17:20" x14ac:dyDescent="0.35">
      <c r="Q396" s="526">
        <v>373</v>
      </c>
      <c r="R396" s="526">
        <f t="shared" si="15"/>
        <v>3727.7198085130408</v>
      </c>
      <c r="T396" s="543">
        <f t="shared" si="14"/>
        <v>3320071.9520404385</v>
      </c>
    </row>
    <row r="397" spans="17:20" x14ac:dyDescent="0.35">
      <c r="Q397" s="526">
        <v>374</v>
      </c>
      <c r="R397" s="526">
        <f t="shared" si="15"/>
        <v>3727.7198085130408</v>
      </c>
      <c r="T397" s="543">
        <f t="shared" si="14"/>
        <v>3345958.336327944</v>
      </c>
    </row>
    <row r="398" spans="17:20" x14ac:dyDescent="0.35">
      <c r="Q398" s="526">
        <v>375</v>
      </c>
      <c r="R398" s="526">
        <f t="shared" si="15"/>
        <v>3727.7198085130408</v>
      </c>
      <c r="T398" s="543">
        <f t="shared" si="14"/>
        <v>3372017.2965106997</v>
      </c>
    </row>
    <row r="399" spans="17:20" x14ac:dyDescent="0.35">
      <c r="Q399" s="526">
        <v>376</v>
      </c>
      <c r="R399" s="526">
        <f t="shared" si="15"/>
        <v>3727.7198085130408</v>
      </c>
      <c r="T399" s="543">
        <f t="shared" si="14"/>
        <v>3398249.9830946736</v>
      </c>
    </row>
    <row r="400" spans="17:20" x14ac:dyDescent="0.35">
      <c r="Q400" s="526">
        <v>377</v>
      </c>
      <c r="R400" s="526">
        <f t="shared" si="15"/>
        <v>3727.7198085130408</v>
      </c>
      <c r="T400" s="543">
        <f t="shared" si="14"/>
        <v>3424657.5542558739</v>
      </c>
    </row>
    <row r="401" spans="17:20" x14ac:dyDescent="0.35">
      <c r="Q401" s="526">
        <v>378</v>
      </c>
      <c r="R401" s="526">
        <f t="shared" si="15"/>
        <v>3727.7198085130408</v>
      </c>
      <c r="T401" s="543">
        <f t="shared" si="14"/>
        <v>3451241.1758914823</v>
      </c>
    </row>
    <row r="402" spans="17:20" x14ac:dyDescent="0.35">
      <c r="Q402" s="526">
        <v>379</v>
      </c>
      <c r="R402" s="526">
        <f t="shared" si="15"/>
        <v>3727.7198085130408</v>
      </c>
      <c r="T402" s="543">
        <f t="shared" si="14"/>
        <v>3478002.0216713282</v>
      </c>
    </row>
    <row r="403" spans="17:20" x14ac:dyDescent="0.35">
      <c r="Q403" s="526">
        <v>380</v>
      </c>
      <c r="R403" s="526">
        <f t="shared" si="15"/>
        <v>3727.7198085130408</v>
      </c>
      <c r="T403" s="543">
        <f t="shared" si="14"/>
        <v>3504941.2730897064</v>
      </c>
    </row>
    <row r="404" spans="17:20" x14ac:dyDescent="0.35">
      <c r="Q404" s="526">
        <v>381</v>
      </c>
      <c r="R404" s="526">
        <f t="shared" si="15"/>
        <v>3727.7198085130408</v>
      </c>
      <c r="T404" s="543">
        <f t="shared" si="14"/>
        <v>3532060.1195175406</v>
      </c>
    </row>
    <row r="405" spans="17:20" x14ac:dyDescent="0.35">
      <c r="Q405" s="526">
        <v>382</v>
      </c>
      <c r="R405" s="526">
        <f t="shared" si="15"/>
        <v>3727.7198085130408</v>
      </c>
      <c r="T405" s="543">
        <f t="shared" si="14"/>
        <v>3559359.7582548936</v>
      </c>
    </row>
    <row r="406" spans="17:20" x14ac:dyDescent="0.35">
      <c r="Q406" s="526">
        <v>383</v>
      </c>
      <c r="R406" s="526">
        <f t="shared" si="15"/>
        <v>3727.7198085130408</v>
      </c>
      <c r="T406" s="543">
        <f t="shared" ref="T406:T469" si="16">(T405+R406)*(1+$T$19)</f>
        <v>3586841.3945838287</v>
      </c>
    </row>
    <row r="407" spans="17:20" x14ac:dyDescent="0.35">
      <c r="Q407" s="526">
        <v>384</v>
      </c>
      <c r="R407" s="526">
        <f t="shared" si="15"/>
        <v>3727.7198085130408</v>
      </c>
      <c r="T407" s="543">
        <f t="shared" si="16"/>
        <v>3614506.2418216234</v>
      </c>
    </row>
    <row r="408" spans="17:20" x14ac:dyDescent="0.35">
      <c r="Q408" s="526">
        <v>385</v>
      </c>
      <c r="R408" s="526">
        <f t="shared" si="15"/>
        <v>3839.5514027684321</v>
      </c>
      <c r="T408" s="543">
        <f t="shared" si="16"/>
        <v>3642468.0985125545</v>
      </c>
    </row>
    <row r="409" spans="17:20" x14ac:dyDescent="0.35">
      <c r="Q409" s="526">
        <v>386</v>
      </c>
      <c r="R409" s="526">
        <f t="shared" si="15"/>
        <v>3839.5514027684321</v>
      </c>
      <c r="T409" s="543">
        <f t="shared" si="16"/>
        <v>3670616.3675814252</v>
      </c>
    </row>
    <row r="410" spans="17:20" x14ac:dyDescent="0.35">
      <c r="Q410" s="526">
        <v>387</v>
      </c>
      <c r="R410" s="526">
        <f t="shared" si="15"/>
        <v>3839.5514027684321</v>
      </c>
      <c r="T410" s="543">
        <f t="shared" si="16"/>
        <v>3698952.2917774217</v>
      </c>
    </row>
    <row r="411" spans="17:20" x14ac:dyDescent="0.35">
      <c r="Q411" s="526">
        <v>388</v>
      </c>
      <c r="R411" s="526">
        <f t="shared" si="15"/>
        <v>3839.5514027684321</v>
      </c>
      <c r="T411" s="543">
        <f t="shared" si="16"/>
        <v>3727477.1221347246</v>
      </c>
    </row>
    <row r="412" spans="17:20" x14ac:dyDescent="0.35">
      <c r="Q412" s="526">
        <v>389</v>
      </c>
      <c r="R412" s="526">
        <f t="shared" si="15"/>
        <v>3839.5514027684321</v>
      </c>
      <c r="T412" s="543">
        <f t="shared" si="16"/>
        <v>3756192.118027743</v>
      </c>
    </row>
    <row r="413" spans="17:20" x14ac:dyDescent="0.35">
      <c r="Q413" s="526">
        <v>390</v>
      </c>
      <c r="R413" s="526">
        <f t="shared" si="15"/>
        <v>3839.5514027684321</v>
      </c>
      <c r="T413" s="543">
        <f t="shared" si="16"/>
        <v>3785098.5472267149</v>
      </c>
    </row>
    <row r="414" spans="17:20" x14ac:dyDescent="0.35">
      <c r="Q414" s="526">
        <v>391</v>
      </c>
      <c r="R414" s="526">
        <f t="shared" si="15"/>
        <v>3839.5514027684321</v>
      </c>
      <c r="T414" s="543">
        <f t="shared" si="16"/>
        <v>3814197.68595368</v>
      </c>
    </row>
    <row r="415" spans="17:20" x14ac:dyDescent="0.35">
      <c r="Q415" s="526">
        <v>392</v>
      </c>
      <c r="R415" s="526">
        <f t="shared" si="15"/>
        <v>3839.5514027684321</v>
      </c>
      <c r="T415" s="543">
        <f t="shared" si="16"/>
        <v>3843490.8189388248</v>
      </c>
    </row>
    <row r="416" spans="17:20" x14ac:dyDescent="0.35">
      <c r="Q416" s="526">
        <v>393</v>
      </c>
      <c r="R416" s="526">
        <f t="shared" si="15"/>
        <v>3839.5514027684321</v>
      </c>
      <c r="T416" s="543">
        <f t="shared" si="16"/>
        <v>3872979.2394772037</v>
      </c>
    </row>
    <row r="417" spans="17:20" x14ac:dyDescent="0.35">
      <c r="Q417" s="526">
        <v>394</v>
      </c>
      <c r="R417" s="526">
        <f t="shared" si="15"/>
        <v>3839.5514027684321</v>
      </c>
      <c r="T417" s="543">
        <f t="shared" si="16"/>
        <v>3902664.2494858387</v>
      </c>
    </row>
    <row r="418" spans="17:20" x14ac:dyDescent="0.35">
      <c r="Q418" s="526">
        <v>395</v>
      </c>
      <c r="R418" s="526">
        <f t="shared" si="15"/>
        <v>3839.5514027684321</v>
      </c>
      <c r="T418" s="543">
        <f t="shared" si="16"/>
        <v>3932547.1595611977</v>
      </c>
    </row>
    <row r="419" spans="17:20" x14ac:dyDescent="0.35">
      <c r="Q419" s="526">
        <v>396</v>
      </c>
      <c r="R419" s="526">
        <f t="shared" si="15"/>
        <v>3839.5514027684321</v>
      </c>
      <c r="T419" s="543">
        <f t="shared" si="16"/>
        <v>3962629.2890370591</v>
      </c>
    </row>
    <row r="420" spans="17:20" x14ac:dyDescent="0.35">
      <c r="Q420" s="526">
        <v>397</v>
      </c>
      <c r="R420" s="526">
        <f t="shared" si="15"/>
        <v>3954.7379448514853</v>
      </c>
      <c r="T420" s="543">
        <f t="shared" si="16"/>
        <v>3993027.9204951231</v>
      </c>
    </row>
    <row r="421" spans="17:20" x14ac:dyDescent="0.35">
      <c r="Q421" s="526">
        <v>398</v>
      </c>
      <c r="R421" s="526">
        <f t="shared" si="15"/>
        <v>3954.7379448514853</v>
      </c>
      <c r="T421" s="543">
        <f t="shared" si="16"/>
        <v>4023629.2094962411</v>
      </c>
    </row>
    <row r="422" spans="17:20" x14ac:dyDescent="0.35">
      <c r="Q422" s="526">
        <v>399</v>
      </c>
      <c r="R422" s="526">
        <f t="shared" si="15"/>
        <v>3954.7379448514853</v>
      </c>
      <c r="T422" s="543">
        <f t="shared" si="16"/>
        <v>4054434.5070906999</v>
      </c>
    </row>
    <row r="423" spans="17:20" x14ac:dyDescent="0.35">
      <c r="Q423" s="526">
        <v>400</v>
      </c>
      <c r="R423" s="526">
        <f t="shared" si="15"/>
        <v>3954.7379448514853</v>
      </c>
      <c r="T423" s="543">
        <f t="shared" si="16"/>
        <v>4085445.1733357883</v>
      </c>
    </row>
    <row r="424" spans="17:20" x14ac:dyDescent="0.35">
      <c r="Q424" s="526">
        <v>401</v>
      </c>
      <c r="R424" s="526">
        <f t="shared" ref="R424:R487" si="17">R412*(1+$R$19)</f>
        <v>3954.7379448514853</v>
      </c>
      <c r="T424" s="543">
        <f t="shared" si="16"/>
        <v>4116662.577355844</v>
      </c>
    </row>
    <row r="425" spans="17:20" x14ac:dyDescent="0.35">
      <c r="Q425" s="526">
        <v>402</v>
      </c>
      <c r="R425" s="526">
        <f t="shared" si="17"/>
        <v>3954.7379448514853</v>
      </c>
      <c r="T425" s="543">
        <f t="shared" si="16"/>
        <v>4148088.0974026998</v>
      </c>
    </row>
    <row r="426" spans="17:20" x14ac:dyDescent="0.35">
      <c r="Q426" s="526">
        <v>403</v>
      </c>
      <c r="R426" s="526">
        <f t="shared" si="17"/>
        <v>3954.7379448514853</v>
      </c>
      <c r="T426" s="543">
        <f t="shared" si="16"/>
        <v>4179723.1209165347</v>
      </c>
    </row>
    <row r="427" spans="17:20" x14ac:dyDescent="0.35">
      <c r="Q427" s="526">
        <v>404</v>
      </c>
      <c r="R427" s="526">
        <f t="shared" si="17"/>
        <v>3954.7379448514853</v>
      </c>
      <c r="T427" s="543">
        <f t="shared" si="16"/>
        <v>4211569.0445871288</v>
      </c>
    </row>
    <row r="428" spans="17:20" x14ac:dyDescent="0.35">
      <c r="Q428" s="526">
        <v>405</v>
      </c>
      <c r="R428" s="526">
        <f t="shared" si="17"/>
        <v>3954.7379448514853</v>
      </c>
      <c r="T428" s="543">
        <f t="shared" si="16"/>
        <v>4243627.2744155265</v>
      </c>
    </row>
    <row r="429" spans="17:20" x14ac:dyDescent="0.35">
      <c r="Q429" s="526">
        <v>406</v>
      </c>
      <c r="R429" s="526">
        <f t="shared" si="17"/>
        <v>3954.7379448514853</v>
      </c>
      <c r="T429" s="543">
        <f t="shared" si="16"/>
        <v>4275899.2257761136</v>
      </c>
    </row>
    <row r="430" spans="17:20" x14ac:dyDescent="0.35">
      <c r="Q430" s="526">
        <v>407</v>
      </c>
      <c r="R430" s="526">
        <f t="shared" si="17"/>
        <v>3954.7379448514853</v>
      </c>
      <c r="T430" s="543">
        <f t="shared" si="16"/>
        <v>4308386.3234791048</v>
      </c>
    </row>
    <row r="431" spans="17:20" x14ac:dyDescent="0.35">
      <c r="Q431" s="526">
        <v>408</v>
      </c>
      <c r="R431" s="526">
        <f t="shared" si="17"/>
        <v>3954.7379448514853</v>
      </c>
      <c r="T431" s="543">
        <f t="shared" si="16"/>
        <v>4341090.0018334491</v>
      </c>
    </row>
    <row r="432" spans="17:20" x14ac:dyDescent="0.35">
      <c r="Q432" s="526">
        <v>409</v>
      </c>
      <c r="R432" s="526">
        <f t="shared" si="17"/>
        <v>4073.3800831970298</v>
      </c>
      <c r="T432" s="543">
        <f t="shared" si="16"/>
        <v>4374131.13779609</v>
      </c>
    </row>
    <row r="433" spans="17:20" x14ac:dyDescent="0.35">
      <c r="Q433" s="526">
        <v>410</v>
      </c>
      <c r="R433" s="526">
        <f t="shared" si="17"/>
        <v>4073.3800831970298</v>
      </c>
      <c r="T433" s="543">
        <f t="shared" si="16"/>
        <v>4407392.5479984814</v>
      </c>
    </row>
    <row r="434" spans="17:20" x14ac:dyDescent="0.35">
      <c r="Q434" s="526">
        <v>411</v>
      </c>
      <c r="R434" s="526">
        <f t="shared" si="17"/>
        <v>4073.3800831970298</v>
      </c>
      <c r="T434" s="543">
        <f t="shared" si="16"/>
        <v>4440875.7009355556</v>
      </c>
    </row>
    <row r="435" spans="17:20" x14ac:dyDescent="0.35">
      <c r="Q435" s="526">
        <v>412</v>
      </c>
      <c r="R435" s="526">
        <f t="shared" si="17"/>
        <v>4073.3800831970298</v>
      </c>
      <c r="T435" s="543">
        <f t="shared" si="16"/>
        <v>4474582.0748922108</v>
      </c>
    </row>
    <row r="436" spans="17:20" x14ac:dyDescent="0.35">
      <c r="Q436" s="526">
        <v>413</v>
      </c>
      <c r="R436" s="526">
        <f t="shared" si="17"/>
        <v>4073.3800831970298</v>
      </c>
      <c r="T436" s="543">
        <f t="shared" si="16"/>
        <v>4508513.1580085764</v>
      </c>
    </row>
    <row r="437" spans="17:20" x14ac:dyDescent="0.35">
      <c r="Q437" s="526">
        <v>414</v>
      </c>
      <c r="R437" s="526">
        <f t="shared" si="17"/>
        <v>4073.3800831970298</v>
      </c>
      <c r="T437" s="543">
        <f t="shared" si="16"/>
        <v>4542670.448345718</v>
      </c>
    </row>
    <row r="438" spans="17:20" x14ac:dyDescent="0.35">
      <c r="Q438" s="526">
        <v>415</v>
      </c>
      <c r="R438" s="526">
        <f t="shared" si="17"/>
        <v>4073.3800831970298</v>
      </c>
      <c r="T438" s="543">
        <f t="shared" si="16"/>
        <v>4577055.4539517742</v>
      </c>
    </row>
    <row r="439" spans="17:20" x14ac:dyDescent="0.35">
      <c r="Q439" s="526">
        <v>416</v>
      </c>
      <c r="R439" s="526">
        <f t="shared" si="17"/>
        <v>4073.3800831970298</v>
      </c>
      <c r="T439" s="543">
        <f t="shared" si="16"/>
        <v>4611669.6929285368</v>
      </c>
    </row>
    <row r="440" spans="17:20" x14ac:dyDescent="0.35">
      <c r="Q440" s="526">
        <v>417</v>
      </c>
      <c r="R440" s="526">
        <f t="shared" si="17"/>
        <v>4073.3800831970298</v>
      </c>
      <c r="T440" s="543">
        <f t="shared" si="16"/>
        <v>4646514.6934984783</v>
      </c>
    </row>
    <row r="441" spans="17:20" x14ac:dyDescent="0.35">
      <c r="Q441" s="526">
        <v>418</v>
      </c>
      <c r="R441" s="526">
        <f t="shared" si="17"/>
        <v>4073.3800831970298</v>
      </c>
      <c r="T441" s="543">
        <f t="shared" si="16"/>
        <v>4681591.9940722194</v>
      </c>
    </row>
    <row r="442" spans="17:20" x14ac:dyDescent="0.35">
      <c r="Q442" s="526">
        <v>419</v>
      </c>
      <c r="R442" s="526">
        <f t="shared" si="17"/>
        <v>4073.3800831970298</v>
      </c>
      <c r="T442" s="543">
        <f t="shared" si="16"/>
        <v>4716903.1433164524</v>
      </c>
    </row>
    <row r="443" spans="17:20" x14ac:dyDescent="0.35">
      <c r="Q443" s="526">
        <v>420</v>
      </c>
      <c r="R443" s="526">
        <f t="shared" si="17"/>
        <v>4073.3800831970298</v>
      </c>
      <c r="T443" s="543">
        <f t="shared" si="16"/>
        <v>4752449.7002223134</v>
      </c>
    </row>
    <row r="444" spans="17:20" x14ac:dyDescent="0.35">
      <c r="Q444" s="526">
        <v>421</v>
      </c>
      <c r="R444" s="526">
        <f t="shared" si="17"/>
        <v>4195.581485692941</v>
      </c>
      <c r="T444" s="543">
        <f t="shared" si="16"/>
        <v>4788356.2502527265</v>
      </c>
    </row>
    <row r="445" spans="17:20" x14ac:dyDescent="0.35">
      <c r="Q445" s="526">
        <v>422</v>
      </c>
      <c r="R445" s="526">
        <f t="shared" si="17"/>
        <v>4195.581485692941</v>
      </c>
      <c r="T445" s="543">
        <f t="shared" si="16"/>
        <v>4824502.177283342</v>
      </c>
    </row>
    <row r="446" spans="17:20" x14ac:dyDescent="0.35">
      <c r="Q446" s="526">
        <v>423</v>
      </c>
      <c r="R446" s="526">
        <f t="shared" si="17"/>
        <v>4195.581485692941</v>
      </c>
      <c r="T446" s="543">
        <f t="shared" si="16"/>
        <v>4860889.0771608287</v>
      </c>
    </row>
    <row r="447" spans="17:20" x14ac:dyDescent="0.35">
      <c r="Q447" s="526">
        <v>424</v>
      </c>
      <c r="R447" s="526">
        <f t="shared" si="17"/>
        <v>4195.581485692941</v>
      </c>
      <c r="T447" s="543">
        <f t="shared" si="16"/>
        <v>4897518.556370832</v>
      </c>
    </row>
    <row r="448" spans="17:20" x14ac:dyDescent="0.35">
      <c r="Q448" s="526">
        <v>425</v>
      </c>
      <c r="R448" s="526">
        <f t="shared" si="17"/>
        <v>4195.581485692941</v>
      </c>
      <c r="T448" s="543">
        <f t="shared" si="16"/>
        <v>4934392.2321089022</v>
      </c>
    </row>
    <row r="449" spans="17:20" x14ac:dyDescent="0.35">
      <c r="Q449" s="526">
        <v>426</v>
      </c>
      <c r="R449" s="526">
        <f t="shared" si="17"/>
        <v>4195.581485692941</v>
      </c>
      <c r="T449" s="543">
        <f t="shared" si="16"/>
        <v>4971511.7323518926</v>
      </c>
    </row>
    <row r="450" spans="17:20" x14ac:dyDescent="0.35">
      <c r="Q450" s="526">
        <v>427</v>
      </c>
      <c r="R450" s="526">
        <f t="shared" si="17"/>
        <v>4195.581485692941</v>
      </c>
      <c r="T450" s="543">
        <f t="shared" si="16"/>
        <v>5008878.6959298365</v>
      </c>
    </row>
    <row r="451" spans="17:20" x14ac:dyDescent="0.35">
      <c r="Q451" s="526">
        <v>428</v>
      </c>
      <c r="R451" s="526">
        <f t="shared" si="17"/>
        <v>4195.581485692941</v>
      </c>
      <c r="T451" s="543">
        <f t="shared" si="16"/>
        <v>5046494.7725983001</v>
      </c>
    </row>
    <row r="452" spans="17:20" x14ac:dyDescent="0.35">
      <c r="Q452" s="526">
        <v>429</v>
      </c>
      <c r="R452" s="526">
        <f t="shared" si="17"/>
        <v>4195.581485692941</v>
      </c>
      <c r="T452" s="543">
        <f t="shared" si="16"/>
        <v>5084361.6231112201</v>
      </c>
    </row>
    <row r="453" spans="17:20" x14ac:dyDescent="0.35">
      <c r="Q453" s="526">
        <v>430</v>
      </c>
      <c r="R453" s="526">
        <f t="shared" si="17"/>
        <v>4195.581485692941</v>
      </c>
      <c r="T453" s="543">
        <f t="shared" si="16"/>
        <v>5122480.919294226</v>
      </c>
    </row>
    <row r="454" spans="17:20" x14ac:dyDescent="0.35">
      <c r="Q454" s="526">
        <v>431</v>
      </c>
      <c r="R454" s="526">
        <f t="shared" si="17"/>
        <v>4195.581485692941</v>
      </c>
      <c r="T454" s="543">
        <f t="shared" si="16"/>
        <v>5160854.3441184517</v>
      </c>
    </row>
    <row r="455" spans="17:20" x14ac:dyDescent="0.35">
      <c r="Q455" s="526">
        <v>432</v>
      </c>
      <c r="R455" s="526">
        <f t="shared" si="17"/>
        <v>4195.581485692941</v>
      </c>
      <c r="T455" s="543">
        <f t="shared" si="16"/>
        <v>5199483.591774839</v>
      </c>
    </row>
    <row r="456" spans="17:20" x14ac:dyDescent="0.35">
      <c r="Q456" s="526">
        <v>433</v>
      </c>
      <c r="R456" s="526">
        <f t="shared" si="17"/>
        <v>4321.4489302637294</v>
      </c>
      <c r="T456" s="543">
        <f t="shared" si="16"/>
        <v>5238497.0743098026</v>
      </c>
    </row>
    <row r="457" spans="17:20" x14ac:dyDescent="0.35">
      <c r="Q457" s="526">
        <v>434</v>
      </c>
      <c r="R457" s="526">
        <f t="shared" si="17"/>
        <v>4321.4489302637294</v>
      </c>
      <c r="T457" s="543">
        <f t="shared" si="16"/>
        <v>5277770.6467283331</v>
      </c>
    </row>
    <row r="458" spans="17:20" x14ac:dyDescent="0.35">
      <c r="Q458" s="526">
        <v>435</v>
      </c>
      <c r="R458" s="526">
        <f t="shared" si="17"/>
        <v>4321.4489302637294</v>
      </c>
      <c r="T458" s="543">
        <f t="shared" si="16"/>
        <v>5317306.042962987</v>
      </c>
    </row>
    <row r="459" spans="17:20" x14ac:dyDescent="0.35">
      <c r="Q459" s="526">
        <v>436</v>
      </c>
      <c r="R459" s="526">
        <f t="shared" si="17"/>
        <v>4321.4489302637294</v>
      </c>
      <c r="T459" s="543">
        <f t="shared" si="16"/>
        <v>5357105.0085058715</v>
      </c>
    </row>
    <row r="460" spans="17:20" x14ac:dyDescent="0.35">
      <c r="Q460" s="526">
        <v>437</v>
      </c>
      <c r="R460" s="526">
        <f t="shared" si="17"/>
        <v>4321.4489302637294</v>
      </c>
      <c r="T460" s="543">
        <f t="shared" si="16"/>
        <v>5397169.3004857088</v>
      </c>
    </row>
    <row r="461" spans="17:20" x14ac:dyDescent="0.35">
      <c r="Q461" s="526">
        <v>438</v>
      </c>
      <c r="R461" s="526">
        <f t="shared" si="17"/>
        <v>4321.4489302637294</v>
      </c>
      <c r="T461" s="543">
        <f t="shared" si="16"/>
        <v>5437500.6877454119</v>
      </c>
    </row>
    <row r="462" spans="17:20" x14ac:dyDescent="0.35">
      <c r="Q462" s="526">
        <v>439</v>
      </c>
      <c r="R462" s="526">
        <f t="shared" si="17"/>
        <v>4321.4489302637294</v>
      </c>
      <c r="T462" s="543">
        <f t="shared" si="16"/>
        <v>5478100.9509201795</v>
      </c>
    </row>
    <row r="463" spans="17:20" x14ac:dyDescent="0.35">
      <c r="Q463" s="526">
        <v>440</v>
      </c>
      <c r="R463" s="526">
        <f t="shared" si="17"/>
        <v>4321.4489302637294</v>
      </c>
      <c r="T463" s="543">
        <f t="shared" si="16"/>
        <v>5518971.8825161122</v>
      </c>
    </row>
    <row r="464" spans="17:20" x14ac:dyDescent="0.35">
      <c r="Q464" s="526">
        <v>441</v>
      </c>
      <c r="R464" s="526">
        <f t="shared" si="17"/>
        <v>4321.4489302637294</v>
      </c>
      <c r="T464" s="543">
        <f t="shared" si="16"/>
        <v>5560115.2869893508</v>
      </c>
    </row>
    <row r="465" spans="17:20" x14ac:dyDescent="0.35">
      <c r="Q465" s="526">
        <v>442</v>
      </c>
      <c r="R465" s="526">
        <f t="shared" si="17"/>
        <v>4321.4489302637294</v>
      </c>
      <c r="T465" s="543">
        <f t="shared" si="16"/>
        <v>5601532.9808257446</v>
      </c>
    </row>
    <row r="466" spans="17:20" x14ac:dyDescent="0.35">
      <c r="Q466" s="526">
        <v>443</v>
      </c>
      <c r="R466" s="526">
        <f t="shared" si="17"/>
        <v>4321.4489302637294</v>
      </c>
      <c r="T466" s="543">
        <f t="shared" si="16"/>
        <v>5643226.7926210482</v>
      </c>
    </row>
    <row r="467" spans="17:20" x14ac:dyDescent="0.35">
      <c r="Q467" s="526">
        <v>444</v>
      </c>
      <c r="R467" s="526">
        <f t="shared" si="17"/>
        <v>4321.4489302637294</v>
      </c>
      <c r="T467" s="543">
        <f t="shared" si="16"/>
        <v>5685198.5631616535</v>
      </c>
    </row>
    <row r="468" spans="17:20" x14ac:dyDescent="0.35">
      <c r="Q468" s="526">
        <v>445</v>
      </c>
      <c r="R468" s="526">
        <f t="shared" si="17"/>
        <v>4451.0923981716414</v>
      </c>
      <c r="T468" s="543">
        <f t="shared" si="16"/>
        <v>5727580.6532635568</v>
      </c>
    </row>
    <row r="469" spans="17:20" x14ac:dyDescent="0.35">
      <c r="Q469" s="526">
        <v>446</v>
      </c>
      <c r="R469" s="526">
        <f t="shared" si="17"/>
        <v>4451.0923981716414</v>
      </c>
      <c r="T469" s="543">
        <f t="shared" si="16"/>
        <v>5770245.2906328058</v>
      </c>
    </row>
    <row r="470" spans="17:20" x14ac:dyDescent="0.35">
      <c r="Q470" s="526">
        <v>447</v>
      </c>
      <c r="R470" s="526">
        <f t="shared" si="17"/>
        <v>4451.0923981716414</v>
      </c>
      <c r="T470" s="543">
        <f t="shared" ref="T470:T503" si="18">(T469+R470)*(1+$T$19)</f>
        <v>5813194.3589178501</v>
      </c>
    </row>
    <row r="471" spans="17:20" x14ac:dyDescent="0.35">
      <c r="Q471" s="526">
        <v>448</v>
      </c>
      <c r="R471" s="526">
        <f t="shared" si="17"/>
        <v>4451.0923981716414</v>
      </c>
      <c r="T471" s="543">
        <f t="shared" si="18"/>
        <v>5856429.7543247947</v>
      </c>
    </row>
    <row r="472" spans="17:20" x14ac:dyDescent="0.35">
      <c r="Q472" s="526">
        <v>449</v>
      </c>
      <c r="R472" s="526">
        <f t="shared" si="17"/>
        <v>4451.0923981716414</v>
      </c>
      <c r="T472" s="543">
        <f t="shared" si="18"/>
        <v>5899953.385701119</v>
      </c>
    </row>
    <row r="473" spans="17:20" x14ac:dyDescent="0.35">
      <c r="Q473" s="526">
        <v>450</v>
      </c>
      <c r="R473" s="526">
        <f t="shared" si="17"/>
        <v>4451.0923981716414</v>
      </c>
      <c r="T473" s="543">
        <f t="shared" si="18"/>
        <v>5943767.1746199522</v>
      </c>
    </row>
    <row r="474" spans="17:20" x14ac:dyDescent="0.35">
      <c r="Q474" s="526">
        <v>451</v>
      </c>
      <c r="R474" s="526">
        <f t="shared" si="17"/>
        <v>4451.0923981716414</v>
      </c>
      <c r="T474" s="543">
        <f t="shared" si="18"/>
        <v>5987873.0554649103</v>
      </c>
    </row>
    <row r="475" spans="17:20" x14ac:dyDescent="0.35">
      <c r="Q475" s="526">
        <v>452</v>
      </c>
      <c r="R475" s="526">
        <f t="shared" si="17"/>
        <v>4451.0923981716414</v>
      </c>
      <c r="T475" s="543">
        <f t="shared" si="18"/>
        <v>6032272.9755155016</v>
      </c>
    </row>
    <row r="476" spans="17:20" x14ac:dyDescent="0.35">
      <c r="Q476" s="526">
        <v>453</v>
      </c>
      <c r="R476" s="526">
        <f t="shared" si="17"/>
        <v>4451.0923981716414</v>
      </c>
      <c r="T476" s="543">
        <f t="shared" si="18"/>
        <v>6076968.8950330969</v>
      </c>
    </row>
    <row r="477" spans="17:20" x14ac:dyDescent="0.35">
      <c r="Q477" s="526">
        <v>454</v>
      </c>
      <c r="R477" s="526">
        <f t="shared" si="17"/>
        <v>4451.0923981716414</v>
      </c>
      <c r="T477" s="543">
        <f t="shared" si="18"/>
        <v>6121962.787347476</v>
      </c>
    </row>
    <row r="478" spans="17:20" x14ac:dyDescent="0.35">
      <c r="Q478" s="526">
        <v>455</v>
      </c>
      <c r="R478" s="526">
        <f t="shared" si="17"/>
        <v>4451.0923981716414</v>
      </c>
      <c r="T478" s="543">
        <f t="shared" si="18"/>
        <v>6167256.6389439516</v>
      </c>
    </row>
    <row r="479" spans="17:20" x14ac:dyDescent="0.35">
      <c r="Q479" s="526">
        <v>456</v>
      </c>
      <c r="R479" s="526">
        <f t="shared" si="17"/>
        <v>4451.0923981716414</v>
      </c>
      <c r="T479" s="543">
        <f t="shared" si="18"/>
        <v>6212852.4495510701</v>
      </c>
    </row>
    <row r="480" spans="17:20" x14ac:dyDescent="0.35">
      <c r="Q480" s="526">
        <v>457</v>
      </c>
      <c r="R480" s="526">
        <f t="shared" si="17"/>
        <v>4584.6251701167912</v>
      </c>
      <c r="T480" s="543">
        <f t="shared" si="18"/>
        <v>6258886.6552193286</v>
      </c>
    </row>
    <row r="481" spans="17:20" x14ac:dyDescent="0.35">
      <c r="Q481" s="526">
        <v>458</v>
      </c>
      <c r="R481" s="526">
        <f t="shared" si="17"/>
        <v>4584.6251701167912</v>
      </c>
      <c r="T481" s="543">
        <f t="shared" si="18"/>
        <v>6305227.7555920416</v>
      </c>
    </row>
    <row r="482" spans="17:20" x14ac:dyDescent="0.35">
      <c r="Q482" s="526">
        <v>459</v>
      </c>
      <c r="R482" s="526">
        <f t="shared" si="17"/>
        <v>4584.6251701167912</v>
      </c>
      <c r="T482" s="543">
        <f t="shared" si="18"/>
        <v>6351877.7966339057</v>
      </c>
    </row>
    <row r="483" spans="17:20" x14ac:dyDescent="0.35">
      <c r="Q483" s="526">
        <v>460</v>
      </c>
      <c r="R483" s="526">
        <f t="shared" si="17"/>
        <v>4584.6251701167912</v>
      </c>
      <c r="T483" s="543">
        <f t="shared" si="18"/>
        <v>6398838.8379493831</v>
      </c>
    </row>
    <row r="484" spans="17:20" x14ac:dyDescent="0.35">
      <c r="Q484" s="526">
        <v>461</v>
      </c>
      <c r="R484" s="526">
        <f t="shared" si="17"/>
        <v>4584.6251701167912</v>
      </c>
      <c r="T484" s="543">
        <f t="shared" si="18"/>
        <v>6446112.9528736295</v>
      </c>
    </row>
    <row r="485" spans="17:20" x14ac:dyDescent="0.35">
      <c r="Q485" s="526">
        <v>462</v>
      </c>
      <c r="R485" s="526">
        <f t="shared" si="17"/>
        <v>4584.6251701167912</v>
      </c>
      <c r="T485" s="543">
        <f t="shared" si="18"/>
        <v>6493702.2285640379</v>
      </c>
    </row>
    <row r="486" spans="17:20" x14ac:dyDescent="0.35">
      <c r="Q486" s="526">
        <v>463</v>
      </c>
      <c r="R486" s="526">
        <f t="shared" si="17"/>
        <v>4584.6251701167912</v>
      </c>
      <c r="T486" s="543">
        <f t="shared" si="18"/>
        <v>6541608.7660923824</v>
      </c>
    </row>
    <row r="487" spans="17:20" x14ac:dyDescent="0.35">
      <c r="Q487" s="526">
        <v>464</v>
      </c>
      <c r="R487" s="526">
        <f t="shared" si="17"/>
        <v>4584.6251701167912</v>
      </c>
      <c r="T487" s="543">
        <f t="shared" si="18"/>
        <v>6589834.6805375824</v>
      </c>
    </row>
    <row r="488" spans="17:20" x14ac:dyDescent="0.35">
      <c r="Q488" s="526">
        <v>465</v>
      </c>
      <c r="R488" s="526">
        <f t="shared" ref="R488:R503" si="19">R476*(1+$R$19)</f>
        <v>4584.6251701167912</v>
      </c>
      <c r="T488" s="543">
        <f t="shared" si="18"/>
        <v>6638382.101079084</v>
      </c>
    </row>
    <row r="489" spans="17:20" x14ac:dyDescent="0.35">
      <c r="Q489" s="526">
        <v>466</v>
      </c>
      <c r="R489" s="526">
        <f t="shared" si="19"/>
        <v>4584.6251701167912</v>
      </c>
      <c r="T489" s="543">
        <f t="shared" si="18"/>
        <v>6687253.1710908618</v>
      </c>
    </row>
    <row r="490" spans="17:20" x14ac:dyDescent="0.35">
      <c r="Q490" s="526">
        <v>467</v>
      </c>
      <c r="R490" s="526">
        <f t="shared" si="19"/>
        <v>4584.6251701167912</v>
      </c>
      <c r="T490" s="543">
        <f t="shared" si="18"/>
        <v>6736450.0482360516</v>
      </c>
    </row>
    <row r="491" spans="17:20" x14ac:dyDescent="0.35">
      <c r="Q491" s="526">
        <v>468</v>
      </c>
      <c r="R491" s="526">
        <f t="shared" si="19"/>
        <v>4584.6251701167912</v>
      </c>
      <c r="T491" s="543">
        <f t="shared" si="18"/>
        <v>6785974.9045622097</v>
      </c>
    </row>
    <row r="492" spans="17:20" x14ac:dyDescent="0.35">
      <c r="Q492" s="526">
        <v>469</v>
      </c>
      <c r="R492" s="526">
        <f t="shared" si="19"/>
        <v>4722.1639252202949</v>
      </c>
      <c r="T492" s="543">
        <f t="shared" si="18"/>
        <v>6835968.3822773453</v>
      </c>
    </row>
    <row r="493" spans="17:20" x14ac:dyDescent="0.35">
      <c r="Q493" s="526">
        <v>470</v>
      </c>
      <c r="R493" s="526">
        <f t="shared" si="19"/>
        <v>4722.1639252202949</v>
      </c>
      <c r="T493" s="543">
        <f t="shared" si="18"/>
        <v>6886295.1498439154</v>
      </c>
    </row>
    <row r="494" spans="17:20" x14ac:dyDescent="0.35">
      <c r="Q494" s="526">
        <v>471</v>
      </c>
      <c r="R494" s="526">
        <f t="shared" si="19"/>
        <v>4722.1639252202949</v>
      </c>
      <c r="T494" s="543">
        <f t="shared" si="18"/>
        <v>6936957.4291942632</v>
      </c>
    </row>
    <row r="495" spans="17:20" x14ac:dyDescent="0.35">
      <c r="Q495" s="526">
        <v>472</v>
      </c>
      <c r="R495" s="526">
        <f t="shared" si="19"/>
        <v>4722.1639252202949</v>
      </c>
      <c r="T495" s="543">
        <f t="shared" si="18"/>
        <v>6987957.4570736131</v>
      </c>
    </row>
    <row r="496" spans="17:20" x14ac:dyDescent="0.35">
      <c r="Q496" s="526">
        <v>473</v>
      </c>
      <c r="R496" s="526">
        <f t="shared" si="19"/>
        <v>4722.1639252202949</v>
      </c>
      <c r="T496" s="543">
        <f t="shared" si="18"/>
        <v>7039297.4851388251</v>
      </c>
    </row>
    <row r="497" spans="17:20" x14ac:dyDescent="0.35">
      <c r="Q497" s="526">
        <v>474</v>
      </c>
      <c r="R497" s="526">
        <f t="shared" si="19"/>
        <v>4722.1639252202949</v>
      </c>
      <c r="T497" s="543">
        <f t="shared" si="18"/>
        <v>7090979.7800578056</v>
      </c>
    </row>
    <row r="498" spans="17:20" x14ac:dyDescent="0.35">
      <c r="Q498" s="526">
        <v>475</v>
      </c>
      <c r="R498" s="526">
        <f t="shared" si="19"/>
        <v>4722.1639252202949</v>
      </c>
      <c r="T498" s="543">
        <f t="shared" si="18"/>
        <v>7143006.6236095792</v>
      </c>
    </row>
    <row r="499" spans="17:20" x14ac:dyDescent="0.35">
      <c r="Q499" s="526">
        <v>476</v>
      </c>
      <c r="R499" s="526">
        <f t="shared" si="19"/>
        <v>4722.1639252202949</v>
      </c>
      <c r="T499" s="543">
        <f t="shared" si="18"/>
        <v>7195380.3127850313</v>
      </c>
    </row>
    <row r="500" spans="17:20" x14ac:dyDescent="0.35">
      <c r="Q500" s="526">
        <v>477</v>
      </c>
      <c r="R500" s="526">
        <f t="shared" si="19"/>
        <v>4722.1639252202949</v>
      </c>
      <c r="T500" s="543">
        <f t="shared" si="18"/>
        <v>7248103.1598883197</v>
      </c>
    </row>
    <row r="501" spans="17:20" x14ac:dyDescent="0.35">
      <c r="Q501" s="526">
        <v>478</v>
      </c>
      <c r="R501" s="526">
        <f t="shared" si="19"/>
        <v>4722.1639252202949</v>
      </c>
      <c r="T501" s="543">
        <f t="shared" si="18"/>
        <v>7301177.4926389633</v>
      </c>
    </row>
    <row r="502" spans="17:20" x14ac:dyDescent="0.35">
      <c r="Q502" s="526">
        <v>479</v>
      </c>
      <c r="R502" s="526">
        <f t="shared" si="19"/>
        <v>4722.1639252202949</v>
      </c>
      <c r="T502" s="543">
        <f t="shared" si="18"/>
        <v>7354605.6542746108</v>
      </c>
    </row>
    <row r="503" spans="17:20" x14ac:dyDescent="0.35">
      <c r="Q503" s="526">
        <v>480</v>
      </c>
      <c r="R503" s="526">
        <f t="shared" si="19"/>
        <v>4722.1639252202949</v>
      </c>
      <c r="T503" s="543">
        <f t="shared" si="18"/>
        <v>7408390.0036544958</v>
      </c>
    </row>
  </sheetData>
  <mergeCells count="30">
    <mergeCell ref="F55:I55"/>
    <mergeCell ref="C2:D2"/>
    <mergeCell ref="E2:F2"/>
    <mergeCell ref="A1:J1"/>
    <mergeCell ref="F3:I3"/>
    <mergeCell ref="F16:I16"/>
    <mergeCell ref="F17:I17"/>
    <mergeCell ref="A52:J52"/>
    <mergeCell ref="F57:I57"/>
    <mergeCell ref="F58:I58"/>
    <mergeCell ref="F59:I59"/>
    <mergeCell ref="F60:I60"/>
    <mergeCell ref="D63:F63"/>
    <mergeCell ref="H63:J63"/>
    <mergeCell ref="D64:F64"/>
    <mergeCell ref="H64:J64"/>
    <mergeCell ref="D65:F65"/>
    <mergeCell ref="H65:J65"/>
    <mergeCell ref="D66:F66"/>
    <mergeCell ref="H66:J66"/>
    <mergeCell ref="F90:H90"/>
    <mergeCell ref="F91:H91"/>
    <mergeCell ref="F92:H92"/>
    <mergeCell ref="F93:H93"/>
    <mergeCell ref="F75:H75"/>
    <mergeCell ref="F76:H76"/>
    <mergeCell ref="F77:H77"/>
    <mergeCell ref="F78:H78"/>
    <mergeCell ref="F88:H88"/>
    <mergeCell ref="F89:H89"/>
  </mergeCells>
  <printOptions horizontalCentered="1"/>
  <pageMargins left="0.5" right="0.5" top="0.34" bottom="0.38" header="0.25" footer="0.25"/>
  <pageSetup scale="83" fitToHeight="3" orientation="portrait" horizontalDpi="4294967293" verticalDpi="4294967293" r:id="rId1"/>
  <headerFooter alignWithMargins="0"/>
  <rowBreaks count="1" manualBreakCount="1">
    <brk id="5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9BDA9-1947-4DDC-A34C-E31410257F09}">
  <sheetPr>
    <pageSetUpPr fitToPage="1"/>
  </sheetPr>
  <dimension ref="A1:T72"/>
  <sheetViews>
    <sheetView showGridLines="0" zoomScale="75" zoomScaleNormal="75" workbookViewId="0">
      <selection activeCell="Q10" sqref="Q10"/>
    </sheetView>
  </sheetViews>
  <sheetFormatPr defaultColWidth="9.1796875" defaultRowHeight="12.5" x14ac:dyDescent="0.25"/>
  <cols>
    <col min="1" max="1" width="2.81640625" style="440" customWidth="1"/>
    <col min="2" max="2" width="51.81640625" style="440" customWidth="1"/>
    <col min="3" max="3" width="14.7265625" style="440" customWidth="1"/>
    <col min="4" max="4" width="18.7265625" style="440" customWidth="1"/>
    <col min="5" max="5" width="2.81640625" style="440" customWidth="1"/>
    <col min="6" max="6" width="18.7265625" style="440" customWidth="1"/>
    <col min="7" max="7" width="2.81640625" style="440" customWidth="1"/>
    <col min="8" max="8" width="18.7265625" style="440" customWidth="1"/>
    <col min="9" max="9" width="2.81640625" style="440" customWidth="1"/>
    <col min="10" max="10" width="18.7265625" style="440" customWidth="1"/>
    <col min="11" max="11" width="2.81640625" style="440" customWidth="1"/>
    <col min="12" max="12" width="18.7265625" style="440" customWidth="1"/>
    <col min="13" max="13" width="9.1796875" style="440"/>
    <col min="14" max="15" width="9.26953125" style="440" bestFit="1" customWidth="1"/>
    <col min="16" max="16" width="11.453125" style="440" bestFit="1" customWidth="1"/>
    <col min="17" max="18" width="9.26953125" style="440" bestFit="1" customWidth="1"/>
    <col min="19" max="16384" width="9.1796875" style="440"/>
  </cols>
  <sheetData>
    <row r="1" spans="1:20" ht="23" x14ac:dyDescent="0.5">
      <c r="A1" s="640" t="s">
        <v>437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2"/>
    </row>
    <row r="2" spans="1:20" ht="24.75" customHeight="1" x14ac:dyDescent="0.25">
      <c r="A2" s="441"/>
      <c r="B2" s="442"/>
      <c r="C2" s="442"/>
      <c r="D2" s="443" t="s">
        <v>438</v>
      </c>
      <c r="E2" s="442"/>
      <c r="F2" s="444">
        <v>2022</v>
      </c>
      <c r="G2" s="442"/>
      <c r="H2" s="442"/>
      <c r="I2" s="442"/>
      <c r="J2" s="442"/>
      <c r="K2" s="442"/>
      <c r="L2" s="445"/>
    </row>
    <row r="3" spans="1:20" ht="20.149999999999999" customHeight="1" x14ac:dyDescent="0.4">
      <c r="A3" s="643" t="s">
        <v>439</v>
      </c>
      <c r="B3" s="644"/>
      <c r="C3" s="446"/>
      <c r="D3" s="447" t="s">
        <v>716</v>
      </c>
      <c r="E3" s="447"/>
      <c r="F3" s="447" t="s">
        <v>717</v>
      </c>
      <c r="G3" s="447"/>
      <c r="H3" s="447" t="s">
        <v>718</v>
      </c>
      <c r="I3" s="447"/>
      <c r="J3" s="447" t="s">
        <v>719</v>
      </c>
      <c r="K3" s="447"/>
      <c r="L3" s="448" t="s">
        <v>120</v>
      </c>
    </row>
    <row r="4" spans="1:20" ht="9.75" customHeight="1" x14ac:dyDescent="0.3">
      <c r="A4" s="449"/>
      <c r="B4" s="450"/>
      <c r="C4" s="451"/>
      <c r="D4" s="452"/>
      <c r="E4" s="452"/>
      <c r="F4" s="452"/>
      <c r="G4" s="452"/>
      <c r="H4" s="452"/>
      <c r="I4" s="452"/>
      <c r="J4" s="452"/>
      <c r="K4" s="452"/>
      <c r="L4" s="453"/>
    </row>
    <row r="5" spans="1:20" ht="20.149999999999999" customHeight="1" x14ac:dyDescent="0.4">
      <c r="A5" s="454"/>
      <c r="B5" s="455" t="s">
        <v>448</v>
      </c>
      <c r="C5" s="456"/>
      <c r="D5" s="457"/>
      <c r="E5" s="457"/>
      <c r="F5" s="457"/>
      <c r="G5" s="457"/>
      <c r="H5" s="457"/>
      <c r="I5" s="457"/>
      <c r="J5" s="457"/>
      <c r="K5" s="457"/>
      <c r="L5" s="458"/>
      <c r="N5" s="459"/>
      <c r="O5" s="459"/>
      <c r="P5" s="459"/>
      <c r="Q5" s="459"/>
      <c r="R5" s="459"/>
      <c r="S5" s="459"/>
      <c r="T5" s="459"/>
    </row>
    <row r="6" spans="1:20" ht="21" customHeight="1" x14ac:dyDescent="0.35">
      <c r="A6" s="449"/>
      <c r="B6" s="460" t="s">
        <v>720</v>
      </c>
      <c r="C6" s="461"/>
      <c r="D6" s="462"/>
      <c r="E6" s="463"/>
      <c r="F6" s="462"/>
      <c r="G6" s="463"/>
      <c r="H6" s="462">
        <v>21000</v>
      </c>
      <c r="I6" s="463"/>
      <c r="J6" s="462">
        <v>6000</v>
      </c>
      <c r="K6" s="463"/>
      <c r="L6" s="464">
        <f t="shared" ref="L6:L11" si="0">SUM(D6:J6)</f>
        <v>27000</v>
      </c>
      <c r="N6" s="459"/>
      <c r="O6" s="465"/>
      <c r="P6" s="465"/>
      <c r="Q6" s="465"/>
      <c r="R6" s="465"/>
      <c r="S6" s="459"/>
      <c r="T6" s="459"/>
    </row>
    <row r="7" spans="1:20" ht="21" customHeight="1" x14ac:dyDescent="0.35">
      <c r="A7" s="449"/>
      <c r="B7" s="460" t="s">
        <v>721</v>
      </c>
      <c r="C7" s="466"/>
      <c r="D7" s="467"/>
      <c r="E7" s="463"/>
      <c r="F7" s="467">
        <v>650</v>
      </c>
      <c r="G7" s="463"/>
      <c r="H7" s="467"/>
      <c r="I7" s="463"/>
      <c r="J7" s="467">
        <v>1000</v>
      </c>
      <c r="K7" s="463"/>
      <c r="L7" s="468">
        <f t="shared" si="0"/>
        <v>1650</v>
      </c>
      <c r="N7" s="459"/>
      <c r="O7" s="465"/>
      <c r="P7" s="465"/>
      <c r="Q7" s="465"/>
      <c r="R7" s="465"/>
      <c r="S7" s="459"/>
      <c r="T7" s="459"/>
    </row>
    <row r="8" spans="1:20" ht="21" customHeight="1" x14ac:dyDescent="0.35">
      <c r="A8" s="449"/>
      <c r="B8" s="460" t="s">
        <v>722</v>
      </c>
      <c r="C8" s="466"/>
      <c r="D8" s="467"/>
      <c r="E8" s="463"/>
      <c r="F8" s="467"/>
      <c r="G8" s="463"/>
      <c r="H8" s="467">
        <v>450</v>
      </c>
      <c r="I8" s="463"/>
      <c r="J8" s="467"/>
      <c r="K8" s="463"/>
      <c r="L8" s="468">
        <f t="shared" si="0"/>
        <v>450</v>
      </c>
      <c r="N8" s="459"/>
      <c r="O8" s="465"/>
      <c r="P8" s="465"/>
      <c r="Q8" s="465"/>
      <c r="R8" s="465"/>
      <c r="S8" s="459"/>
      <c r="T8" s="459"/>
    </row>
    <row r="9" spans="1:20" ht="21" customHeight="1" x14ac:dyDescent="0.35">
      <c r="A9" s="449"/>
      <c r="B9" s="469" t="s">
        <v>452</v>
      </c>
      <c r="C9" s="466"/>
      <c r="D9" s="467"/>
      <c r="E9" s="463"/>
      <c r="F9" s="467"/>
      <c r="G9" s="463"/>
      <c r="H9" s="467"/>
      <c r="I9" s="463"/>
      <c r="J9" s="467"/>
      <c r="K9" s="463"/>
      <c r="L9" s="468">
        <f t="shared" si="0"/>
        <v>0</v>
      </c>
      <c r="N9" s="459"/>
      <c r="O9" s="465"/>
      <c r="P9" s="465"/>
      <c r="Q9" s="465"/>
      <c r="R9" s="465"/>
      <c r="S9" s="459"/>
      <c r="T9" s="459"/>
    </row>
    <row r="10" spans="1:20" ht="21" customHeight="1" x14ac:dyDescent="0.35">
      <c r="A10" s="449"/>
      <c r="B10" s="469" t="s">
        <v>453</v>
      </c>
      <c r="C10" s="466"/>
      <c r="D10" s="467"/>
      <c r="E10" s="463"/>
      <c r="F10" s="467"/>
      <c r="G10" s="463"/>
      <c r="H10" s="467"/>
      <c r="I10" s="463"/>
      <c r="J10" s="467"/>
      <c r="K10" s="463"/>
      <c r="L10" s="468">
        <f t="shared" si="0"/>
        <v>0</v>
      </c>
      <c r="N10" s="459"/>
      <c r="O10" s="465"/>
      <c r="P10" s="465"/>
      <c r="Q10" s="465"/>
      <c r="R10" s="465"/>
      <c r="S10" s="459"/>
      <c r="T10" s="459"/>
    </row>
    <row r="11" spans="1:20" ht="21" customHeight="1" x14ac:dyDescent="0.35">
      <c r="A11" s="449"/>
      <c r="B11" s="469" t="s">
        <v>391</v>
      </c>
      <c r="C11" s="466"/>
      <c r="D11" s="467">
        <v>8000</v>
      </c>
      <c r="E11" s="463"/>
      <c r="F11" s="467">
        <v>8000</v>
      </c>
      <c r="G11" s="463"/>
      <c r="H11" s="467">
        <v>8000</v>
      </c>
      <c r="I11" s="463"/>
      <c r="J11" s="467">
        <v>8000</v>
      </c>
      <c r="K11" s="463"/>
      <c r="L11" s="468">
        <f t="shared" si="0"/>
        <v>32000</v>
      </c>
      <c r="N11" s="459"/>
      <c r="O11" s="465"/>
      <c r="P11" s="465"/>
      <c r="Q11" s="465"/>
      <c r="R11" s="465"/>
      <c r="S11" s="459"/>
      <c r="T11" s="459"/>
    </row>
    <row r="12" spans="1:20" ht="6" customHeight="1" thickBot="1" x14ac:dyDescent="0.4">
      <c r="A12" s="470"/>
      <c r="B12" s="471"/>
      <c r="C12" s="472"/>
      <c r="D12" s="473"/>
      <c r="E12" s="473"/>
      <c r="F12" s="473"/>
      <c r="G12" s="473"/>
      <c r="H12" s="473"/>
      <c r="I12" s="473"/>
      <c r="J12" s="473"/>
      <c r="K12" s="473"/>
      <c r="L12" s="474"/>
      <c r="N12" s="459"/>
      <c r="O12" s="465"/>
      <c r="P12" s="465"/>
      <c r="Q12" s="465"/>
      <c r="R12" s="465"/>
      <c r="S12" s="459"/>
      <c r="T12" s="459"/>
    </row>
    <row r="13" spans="1:20" ht="21" customHeight="1" x14ac:dyDescent="0.35">
      <c r="A13" s="449" t="s">
        <v>310</v>
      </c>
      <c r="B13" s="475" t="s">
        <v>454</v>
      </c>
      <c r="C13" s="476"/>
      <c r="D13" s="477">
        <f>SUM(D6:D11)</f>
        <v>8000</v>
      </c>
      <c r="E13" s="478"/>
      <c r="F13" s="477">
        <f>SUM(F6:F11)</f>
        <v>8650</v>
      </c>
      <c r="G13" s="478"/>
      <c r="H13" s="477">
        <f>SUM(H6:H11)</f>
        <v>29450</v>
      </c>
      <c r="I13" s="478"/>
      <c r="J13" s="477">
        <f>SUM(J6:J11)</f>
        <v>15000</v>
      </c>
      <c r="K13" s="478"/>
      <c r="L13" s="464">
        <f>SUM(L6:L11)</f>
        <v>61100</v>
      </c>
      <c r="N13" s="459"/>
      <c r="O13" s="459"/>
      <c r="P13" s="459"/>
      <c r="Q13" s="459"/>
      <c r="R13" s="459"/>
      <c r="S13" s="459"/>
      <c r="T13" s="459"/>
    </row>
    <row r="14" spans="1:20" ht="9" customHeight="1" x14ac:dyDescent="0.35">
      <c r="A14" s="449"/>
      <c r="B14" s="479"/>
      <c r="C14" s="480"/>
      <c r="D14" s="481"/>
      <c r="E14" s="481"/>
      <c r="F14" s="481"/>
      <c r="G14" s="481"/>
      <c r="H14" s="481"/>
      <c r="I14" s="481"/>
      <c r="J14" s="481"/>
      <c r="K14" s="481"/>
      <c r="L14" s="482"/>
      <c r="N14" s="459"/>
      <c r="O14" s="459"/>
      <c r="P14" s="459"/>
      <c r="Q14" s="459"/>
      <c r="R14" s="459"/>
      <c r="S14" s="459"/>
      <c r="T14" s="459"/>
    </row>
    <row r="15" spans="1:20" ht="20.149999999999999" customHeight="1" thickBot="1" x14ac:dyDescent="0.45">
      <c r="A15" s="483"/>
      <c r="B15" s="455" t="s">
        <v>455</v>
      </c>
      <c r="C15" s="456"/>
      <c r="D15" s="484"/>
      <c r="E15" s="484"/>
      <c r="F15" s="484"/>
      <c r="G15" s="484"/>
      <c r="H15" s="484"/>
      <c r="I15" s="484"/>
      <c r="J15" s="484"/>
      <c r="K15" s="484"/>
      <c r="L15" s="485"/>
      <c r="M15" s="486" t="s">
        <v>723</v>
      </c>
      <c r="N15" s="459"/>
      <c r="O15" s="459"/>
      <c r="P15" s="459"/>
      <c r="Q15" s="459"/>
      <c r="R15" s="459"/>
      <c r="S15" s="459"/>
      <c r="T15" s="459"/>
    </row>
    <row r="16" spans="1:20" ht="21" customHeight="1" x14ac:dyDescent="0.35">
      <c r="A16" s="449"/>
      <c r="B16" s="460" t="s">
        <v>457</v>
      </c>
      <c r="C16" s="476"/>
      <c r="D16" s="487"/>
      <c r="E16" s="463"/>
      <c r="F16" s="487"/>
      <c r="G16" s="488"/>
      <c r="H16" s="487"/>
      <c r="I16" s="488"/>
      <c r="J16" s="487"/>
      <c r="K16" s="488"/>
      <c r="L16" s="489">
        <f t="shared" ref="L16:L43" si="1">SUM(D16:J16)</f>
        <v>0</v>
      </c>
      <c r="M16" s="490"/>
      <c r="N16" s="459" t="s">
        <v>458</v>
      </c>
      <c r="O16" s="465"/>
      <c r="P16" s="465"/>
      <c r="Q16" s="465"/>
      <c r="R16" s="465"/>
      <c r="S16" s="459"/>
      <c r="T16" s="459"/>
    </row>
    <row r="17" spans="1:20" ht="21" customHeight="1" x14ac:dyDescent="0.35">
      <c r="A17" s="449"/>
      <c r="B17" s="469" t="s">
        <v>459</v>
      </c>
      <c r="C17" s="476"/>
      <c r="D17" s="467"/>
      <c r="E17" s="463"/>
      <c r="F17" s="467"/>
      <c r="G17" s="463"/>
      <c r="H17" s="467"/>
      <c r="I17" s="463"/>
      <c r="J17" s="467"/>
      <c r="K17" s="463"/>
      <c r="L17" s="468">
        <f t="shared" si="1"/>
        <v>0</v>
      </c>
      <c r="M17" s="490"/>
      <c r="N17" s="459"/>
      <c r="O17" s="465"/>
      <c r="P17" s="465"/>
      <c r="Q17" s="465"/>
      <c r="R17" s="465"/>
      <c r="S17" s="459"/>
      <c r="T17" s="459"/>
    </row>
    <row r="18" spans="1:20" ht="21" customHeight="1" x14ac:dyDescent="0.35">
      <c r="A18" s="449"/>
      <c r="B18" s="469" t="s">
        <v>460</v>
      </c>
      <c r="C18" s="476"/>
      <c r="D18" s="467"/>
      <c r="E18" s="463"/>
      <c r="F18" s="467"/>
      <c r="G18" s="463"/>
      <c r="H18" s="467"/>
      <c r="I18" s="463"/>
      <c r="J18" s="467"/>
      <c r="K18" s="463"/>
      <c r="L18" s="468">
        <f t="shared" si="1"/>
        <v>0</v>
      </c>
      <c r="M18" s="490"/>
      <c r="N18" s="459"/>
      <c r="O18" s="465"/>
      <c r="P18" s="465"/>
      <c r="Q18" s="465"/>
      <c r="R18" s="465"/>
      <c r="S18" s="459"/>
      <c r="T18" s="459"/>
    </row>
    <row r="19" spans="1:20" ht="21" customHeight="1" x14ac:dyDescent="0.35">
      <c r="A19" s="449"/>
      <c r="B19" s="469" t="s">
        <v>461</v>
      </c>
      <c r="C19" s="476"/>
      <c r="D19" s="467"/>
      <c r="E19" s="463"/>
      <c r="F19" s="467"/>
      <c r="G19" s="463"/>
      <c r="H19" s="467"/>
      <c r="I19" s="463"/>
      <c r="J19" s="467"/>
      <c r="K19" s="463"/>
      <c r="L19" s="468">
        <f t="shared" si="1"/>
        <v>0</v>
      </c>
      <c r="M19" s="490"/>
      <c r="N19" s="459"/>
      <c r="O19" s="465"/>
      <c r="P19" s="465"/>
      <c r="Q19" s="465"/>
      <c r="R19" s="465"/>
      <c r="S19" s="459"/>
      <c r="T19" s="459"/>
    </row>
    <row r="20" spans="1:20" ht="21" customHeight="1" x14ac:dyDescent="0.35">
      <c r="A20" s="449"/>
      <c r="B20" s="469" t="s">
        <v>462</v>
      </c>
      <c r="C20" s="476"/>
      <c r="D20" s="467"/>
      <c r="E20" s="463"/>
      <c r="F20" s="467"/>
      <c r="G20" s="463"/>
      <c r="H20" s="467"/>
      <c r="I20" s="463"/>
      <c r="J20" s="467"/>
      <c r="K20" s="463"/>
      <c r="L20" s="468">
        <f t="shared" si="1"/>
        <v>0</v>
      </c>
      <c r="M20" s="490"/>
      <c r="N20" s="459"/>
      <c r="O20" s="465"/>
      <c r="P20" s="491"/>
      <c r="Q20" s="465"/>
      <c r="R20" s="465"/>
      <c r="S20" s="459"/>
      <c r="T20" s="459"/>
    </row>
    <row r="21" spans="1:20" ht="21" customHeight="1" x14ac:dyDescent="0.35">
      <c r="A21" s="449"/>
      <c r="B21" s="469" t="s">
        <v>463</v>
      </c>
      <c r="C21" s="476"/>
      <c r="D21" s="467">
        <v>750</v>
      </c>
      <c r="E21" s="463"/>
      <c r="F21" s="467"/>
      <c r="G21" s="463"/>
      <c r="H21" s="467"/>
      <c r="I21" s="463"/>
      <c r="J21" s="467">
        <v>3800</v>
      </c>
      <c r="K21" s="463"/>
      <c r="L21" s="468">
        <f t="shared" si="1"/>
        <v>4550</v>
      </c>
      <c r="M21" s="490"/>
      <c r="N21" s="459"/>
      <c r="O21" s="465"/>
      <c r="P21" s="491"/>
      <c r="Q21" s="492"/>
      <c r="R21" s="465"/>
      <c r="S21" s="459"/>
      <c r="T21" s="459"/>
    </row>
    <row r="22" spans="1:20" ht="21" customHeight="1" x14ac:dyDescent="0.35">
      <c r="A22" s="449"/>
      <c r="B22" s="469" t="s">
        <v>464</v>
      </c>
      <c r="C22" s="476"/>
      <c r="D22" s="467"/>
      <c r="E22" s="463"/>
      <c r="F22" s="467">
        <v>450</v>
      </c>
      <c r="G22" s="463"/>
      <c r="H22" s="467"/>
      <c r="I22" s="463"/>
      <c r="J22" s="467">
        <v>700</v>
      </c>
      <c r="K22" s="463"/>
      <c r="L22" s="468">
        <f t="shared" si="1"/>
        <v>1150</v>
      </c>
      <c r="M22" s="490"/>
      <c r="N22" s="459"/>
      <c r="O22" s="465"/>
      <c r="P22" s="491"/>
      <c r="Q22" s="492"/>
      <c r="R22" s="465"/>
      <c r="S22" s="459"/>
      <c r="T22" s="459"/>
    </row>
    <row r="23" spans="1:20" ht="21" customHeight="1" x14ac:dyDescent="0.35">
      <c r="A23" s="449"/>
      <c r="B23" s="469" t="s">
        <v>465</v>
      </c>
      <c r="C23" s="476"/>
      <c r="D23" s="467"/>
      <c r="E23" s="463"/>
      <c r="F23" s="467"/>
      <c r="G23" s="463"/>
      <c r="H23" s="467">
        <v>500</v>
      </c>
      <c r="I23" s="463"/>
      <c r="J23" s="467">
        <v>100</v>
      </c>
      <c r="K23" s="463"/>
      <c r="L23" s="468">
        <f t="shared" si="1"/>
        <v>600</v>
      </c>
      <c r="M23" s="490"/>
      <c r="N23" s="459"/>
      <c r="O23" s="465"/>
      <c r="P23" s="491"/>
      <c r="Q23" s="492"/>
      <c r="R23" s="465"/>
      <c r="S23" s="459"/>
      <c r="T23" s="459"/>
    </row>
    <row r="24" spans="1:20" ht="21" customHeight="1" x14ac:dyDescent="0.35">
      <c r="A24" s="449"/>
      <c r="B24" s="469" t="s">
        <v>466</v>
      </c>
      <c r="C24" s="476"/>
      <c r="D24" s="467"/>
      <c r="E24" s="463"/>
      <c r="F24" s="467">
        <v>2200</v>
      </c>
      <c r="G24" s="463"/>
      <c r="H24" s="467">
        <v>3000</v>
      </c>
      <c r="I24" s="463"/>
      <c r="J24" s="467"/>
      <c r="K24" s="463"/>
      <c r="L24" s="468">
        <f t="shared" si="1"/>
        <v>5200</v>
      </c>
      <c r="M24" s="490"/>
      <c r="N24" s="459"/>
      <c r="O24" s="465"/>
      <c r="P24" s="491"/>
      <c r="Q24" s="492"/>
      <c r="R24" s="465"/>
      <c r="S24" s="459"/>
      <c r="T24" s="459"/>
    </row>
    <row r="25" spans="1:20" ht="21" customHeight="1" x14ac:dyDescent="0.35">
      <c r="A25" s="449"/>
      <c r="B25" s="469" t="s">
        <v>24</v>
      </c>
      <c r="C25" s="476"/>
      <c r="D25" s="467">
        <v>1000</v>
      </c>
      <c r="E25" s="463"/>
      <c r="F25" s="467"/>
      <c r="G25" s="463"/>
      <c r="H25" s="467"/>
      <c r="I25" s="463"/>
      <c r="J25" s="467"/>
      <c r="K25" s="463"/>
      <c r="L25" s="468">
        <f t="shared" si="1"/>
        <v>1000</v>
      </c>
      <c r="M25" s="490"/>
      <c r="N25" s="459"/>
      <c r="O25" s="465"/>
      <c r="P25" s="491"/>
      <c r="Q25" s="492"/>
      <c r="R25" s="465"/>
      <c r="S25" s="459"/>
      <c r="T25" s="459"/>
    </row>
    <row r="26" spans="1:20" ht="21" customHeight="1" x14ac:dyDescent="0.35">
      <c r="A26" s="449"/>
      <c r="B26" s="469" t="s">
        <v>467</v>
      </c>
      <c r="C26" s="476"/>
      <c r="D26" s="467"/>
      <c r="E26" s="463"/>
      <c r="F26" s="467"/>
      <c r="G26" s="463"/>
      <c r="H26" s="467"/>
      <c r="I26" s="463"/>
      <c r="J26" s="467"/>
      <c r="K26" s="463"/>
      <c r="L26" s="468">
        <f t="shared" si="1"/>
        <v>0</v>
      </c>
      <c r="M26" s="490"/>
      <c r="N26" s="459"/>
      <c r="O26" s="465"/>
      <c r="P26" s="493"/>
      <c r="Q26" s="492"/>
      <c r="R26" s="465"/>
      <c r="S26" s="459"/>
      <c r="T26" s="459"/>
    </row>
    <row r="27" spans="1:20" ht="21" customHeight="1" x14ac:dyDescent="0.35">
      <c r="A27" s="449"/>
      <c r="B27" s="469" t="s">
        <v>468</v>
      </c>
      <c r="C27" s="476"/>
      <c r="D27" s="467"/>
      <c r="E27" s="463"/>
      <c r="F27" s="467"/>
      <c r="G27" s="463"/>
      <c r="H27" s="467"/>
      <c r="I27" s="463"/>
      <c r="J27" s="467"/>
      <c r="K27" s="463"/>
      <c r="L27" s="468">
        <f t="shared" si="1"/>
        <v>0</v>
      </c>
      <c r="M27" s="490"/>
      <c r="N27" s="459"/>
      <c r="O27" s="465"/>
      <c r="P27" s="465"/>
      <c r="Q27" s="465"/>
      <c r="R27" s="465"/>
      <c r="S27" s="459"/>
      <c r="T27" s="459"/>
    </row>
    <row r="28" spans="1:20" ht="21" customHeight="1" x14ac:dyDescent="0.35">
      <c r="A28" s="449"/>
      <c r="B28" s="469" t="s">
        <v>469</v>
      </c>
      <c r="C28" s="476"/>
      <c r="D28" s="467"/>
      <c r="E28" s="463"/>
      <c r="F28" s="467"/>
      <c r="G28" s="463"/>
      <c r="H28" s="467"/>
      <c r="I28" s="463"/>
      <c r="J28" s="467"/>
      <c r="K28" s="463"/>
      <c r="L28" s="468">
        <f t="shared" si="1"/>
        <v>0</v>
      </c>
      <c r="M28" s="490"/>
      <c r="N28" s="459"/>
      <c r="O28" s="465"/>
      <c r="P28" s="465"/>
      <c r="Q28" s="465"/>
      <c r="R28" s="465"/>
      <c r="S28" s="459"/>
      <c r="T28" s="459"/>
    </row>
    <row r="29" spans="1:20" ht="21" customHeight="1" x14ac:dyDescent="0.35">
      <c r="A29" s="449"/>
      <c r="B29" s="469" t="s">
        <v>470</v>
      </c>
      <c r="C29" s="476"/>
      <c r="D29" s="467"/>
      <c r="E29" s="463"/>
      <c r="F29" s="467"/>
      <c r="G29" s="463"/>
      <c r="H29" s="467"/>
      <c r="I29" s="463"/>
      <c r="J29" s="467"/>
      <c r="K29" s="463"/>
      <c r="L29" s="468">
        <f t="shared" si="1"/>
        <v>0</v>
      </c>
      <c r="M29" s="490"/>
      <c r="N29" s="459"/>
      <c r="O29" s="465"/>
      <c r="P29" s="491"/>
      <c r="Q29" s="492"/>
      <c r="R29" s="465"/>
      <c r="S29" s="459"/>
      <c r="T29" s="459"/>
    </row>
    <row r="30" spans="1:20" ht="21" customHeight="1" x14ac:dyDescent="0.35">
      <c r="A30" s="449"/>
      <c r="B30" s="469" t="s">
        <v>21</v>
      </c>
      <c r="C30" s="476"/>
      <c r="D30" s="467"/>
      <c r="E30" s="463"/>
      <c r="F30" s="467">
        <v>300</v>
      </c>
      <c r="G30" s="463"/>
      <c r="H30" s="467"/>
      <c r="I30" s="463"/>
      <c r="J30" s="467"/>
      <c r="K30" s="463"/>
      <c r="L30" s="468">
        <f t="shared" si="1"/>
        <v>300</v>
      </c>
      <c r="M30" s="490"/>
      <c r="N30" s="459"/>
      <c r="O30" s="465"/>
      <c r="P30" s="465"/>
      <c r="Q30" s="465"/>
      <c r="R30" s="465"/>
      <c r="S30" s="459"/>
      <c r="T30" s="459"/>
    </row>
    <row r="31" spans="1:20" ht="21" customHeight="1" x14ac:dyDescent="0.35">
      <c r="A31" s="449"/>
      <c r="B31" s="469" t="s">
        <v>471</v>
      </c>
      <c r="C31" s="476"/>
      <c r="D31" s="467"/>
      <c r="E31" s="463"/>
      <c r="F31" s="467"/>
      <c r="G31" s="463"/>
      <c r="H31" s="467"/>
      <c r="I31" s="463"/>
      <c r="J31" s="467"/>
      <c r="K31" s="463"/>
      <c r="L31" s="468">
        <f t="shared" si="1"/>
        <v>0</v>
      </c>
      <c r="M31" s="490"/>
      <c r="N31" s="459"/>
      <c r="O31" s="465"/>
      <c r="P31" s="465"/>
      <c r="Q31" s="494"/>
      <c r="R31" s="465"/>
      <c r="S31" s="459"/>
      <c r="T31" s="459"/>
    </row>
    <row r="32" spans="1:20" ht="21" customHeight="1" x14ac:dyDescent="0.35">
      <c r="A32" s="449"/>
      <c r="B32" s="469" t="s">
        <v>472</v>
      </c>
      <c r="C32" s="476"/>
      <c r="D32" s="467"/>
      <c r="E32" s="463"/>
      <c r="F32" s="467"/>
      <c r="G32" s="463"/>
      <c r="H32" s="467"/>
      <c r="I32" s="463"/>
      <c r="J32" s="467"/>
      <c r="K32" s="463"/>
      <c r="L32" s="468">
        <f t="shared" si="1"/>
        <v>0</v>
      </c>
      <c r="M32" s="490"/>
      <c r="N32" s="459"/>
      <c r="O32" s="465"/>
      <c r="P32" s="465"/>
      <c r="Q32" s="465"/>
      <c r="R32" s="465"/>
      <c r="S32" s="459"/>
      <c r="T32" s="459"/>
    </row>
    <row r="33" spans="1:20" ht="21" customHeight="1" x14ac:dyDescent="0.35">
      <c r="A33" s="449"/>
      <c r="B33" s="469" t="s">
        <v>473</v>
      </c>
      <c r="C33" s="476"/>
      <c r="D33" s="467">
        <v>100</v>
      </c>
      <c r="E33" s="463"/>
      <c r="F33" s="467"/>
      <c r="G33" s="463"/>
      <c r="H33" s="467"/>
      <c r="I33" s="463"/>
      <c r="J33" s="467">
        <v>100</v>
      </c>
      <c r="K33" s="463"/>
      <c r="L33" s="468">
        <f t="shared" si="1"/>
        <v>200</v>
      </c>
      <c r="M33" s="490"/>
      <c r="N33" s="459"/>
      <c r="O33" s="465"/>
      <c r="P33" s="465"/>
      <c r="Q33" s="465"/>
      <c r="R33" s="465"/>
      <c r="S33" s="459"/>
      <c r="T33" s="459"/>
    </row>
    <row r="34" spans="1:20" ht="21" customHeight="1" x14ac:dyDescent="0.35">
      <c r="A34" s="449"/>
      <c r="B34" s="469" t="s">
        <v>474</v>
      </c>
      <c r="C34" s="476"/>
      <c r="D34" s="467"/>
      <c r="E34" s="463"/>
      <c r="F34" s="467">
        <v>1000</v>
      </c>
      <c r="G34" s="463"/>
      <c r="H34" s="467"/>
      <c r="I34" s="463"/>
      <c r="J34" s="467">
        <v>1000</v>
      </c>
      <c r="K34" s="463"/>
      <c r="L34" s="468">
        <f t="shared" si="1"/>
        <v>2000</v>
      </c>
      <c r="M34" s="490"/>
      <c r="N34" s="459"/>
      <c r="O34" s="465"/>
      <c r="P34" s="465"/>
      <c r="Q34" s="465"/>
      <c r="R34" s="465"/>
      <c r="S34" s="459"/>
      <c r="T34" s="459"/>
    </row>
    <row r="35" spans="1:20" ht="21" customHeight="1" x14ac:dyDescent="0.35">
      <c r="A35" s="449"/>
      <c r="B35" s="469" t="s">
        <v>475</v>
      </c>
      <c r="C35" s="476"/>
      <c r="D35" s="467">
        <v>25</v>
      </c>
      <c r="E35" s="463"/>
      <c r="F35" s="467">
        <v>20</v>
      </c>
      <c r="G35" s="463"/>
      <c r="H35" s="467">
        <v>20</v>
      </c>
      <c r="I35" s="463"/>
      <c r="J35" s="467">
        <v>25</v>
      </c>
      <c r="K35" s="463"/>
      <c r="L35" s="468">
        <f t="shared" si="1"/>
        <v>90</v>
      </c>
      <c r="M35" s="490"/>
      <c r="N35" s="459"/>
      <c r="O35" s="465"/>
      <c r="P35" s="465"/>
      <c r="Q35" s="465"/>
      <c r="R35" s="465"/>
      <c r="S35" s="459"/>
      <c r="T35" s="459"/>
    </row>
    <row r="36" spans="1:20" ht="21" customHeight="1" x14ac:dyDescent="0.35">
      <c r="A36" s="449"/>
      <c r="B36" s="469" t="s">
        <v>476</v>
      </c>
      <c r="C36" s="476"/>
      <c r="D36" s="467"/>
      <c r="E36" s="463"/>
      <c r="F36" s="467">
        <v>931</v>
      </c>
      <c r="G36" s="463"/>
      <c r="H36" s="467"/>
      <c r="I36" s="463"/>
      <c r="J36" s="467">
        <v>931</v>
      </c>
      <c r="K36" s="463"/>
      <c r="L36" s="468">
        <f t="shared" si="1"/>
        <v>1862</v>
      </c>
      <c r="N36" s="459"/>
      <c r="O36" s="465"/>
      <c r="P36" s="465"/>
      <c r="Q36" s="465"/>
      <c r="R36" s="465"/>
      <c r="S36" s="459"/>
      <c r="T36" s="459"/>
    </row>
    <row r="37" spans="1:20" ht="21" customHeight="1" x14ac:dyDescent="0.35">
      <c r="A37" s="449"/>
      <c r="B37" s="469" t="s">
        <v>355</v>
      </c>
      <c r="C37" s="476"/>
      <c r="D37" s="467"/>
      <c r="E37" s="463"/>
      <c r="F37" s="467"/>
      <c r="G37" s="463"/>
      <c r="H37" s="467">
        <v>1000</v>
      </c>
      <c r="I37" s="463"/>
      <c r="J37" s="467">
        <v>322</v>
      </c>
      <c r="K37" s="463"/>
      <c r="L37" s="468">
        <f t="shared" si="1"/>
        <v>1322</v>
      </c>
      <c r="N37" s="459"/>
      <c r="O37" s="465"/>
      <c r="P37" s="465"/>
      <c r="Q37" s="465"/>
      <c r="R37" s="465"/>
      <c r="S37" s="459"/>
      <c r="T37" s="459"/>
    </row>
    <row r="38" spans="1:20" ht="21" customHeight="1" x14ac:dyDescent="0.35">
      <c r="A38" s="449"/>
      <c r="B38" s="469" t="s">
        <v>9</v>
      </c>
      <c r="C38" s="476"/>
      <c r="D38" s="467">
        <v>400</v>
      </c>
      <c r="E38" s="463"/>
      <c r="F38" s="495">
        <v>400</v>
      </c>
      <c r="G38" s="463"/>
      <c r="H38" s="467">
        <v>400</v>
      </c>
      <c r="I38" s="463"/>
      <c r="J38" s="467">
        <v>400</v>
      </c>
      <c r="K38" s="463"/>
      <c r="L38" s="468">
        <f t="shared" si="1"/>
        <v>1600</v>
      </c>
      <c r="N38" s="459"/>
      <c r="O38" s="465"/>
      <c r="P38" s="465"/>
      <c r="Q38" s="465"/>
      <c r="R38" s="465"/>
      <c r="S38" s="459"/>
      <c r="T38" s="459"/>
    </row>
    <row r="39" spans="1:20" ht="21" customHeight="1" x14ac:dyDescent="0.35">
      <c r="A39" s="449"/>
      <c r="B39" s="469" t="s">
        <v>478</v>
      </c>
      <c r="C39" s="476"/>
      <c r="D39" s="467"/>
      <c r="E39" s="463"/>
      <c r="F39" s="467"/>
      <c r="G39" s="463"/>
      <c r="H39" s="467"/>
      <c r="I39" s="463"/>
      <c r="J39" s="467"/>
      <c r="K39" s="463"/>
      <c r="L39" s="468">
        <f t="shared" si="1"/>
        <v>0</v>
      </c>
      <c r="N39" s="459"/>
      <c r="O39" s="465"/>
      <c r="P39" s="465"/>
      <c r="Q39" s="465"/>
      <c r="R39" s="465"/>
      <c r="S39" s="459"/>
      <c r="T39" s="459"/>
    </row>
    <row r="40" spans="1:20" ht="21" customHeight="1" x14ac:dyDescent="0.35">
      <c r="A40" s="449"/>
      <c r="B40" s="469" t="s">
        <v>479</v>
      </c>
      <c r="C40" s="476"/>
      <c r="D40" s="496">
        <v>712</v>
      </c>
      <c r="E40" s="463"/>
      <c r="F40" s="496">
        <v>713</v>
      </c>
      <c r="G40" s="463"/>
      <c r="H40" s="496">
        <v>712</v>
      </c>
      <c r="I40" s="463"/>
      <c r="J40" s="496">
        <v>713</v>
      </c>
      <c r="K40" s="463"/>
      <c r="L40" s="468">
        <f t="shared" si="1"/>
        <v>2850</v>
      </c>
      <c r="M40" s="490"/>
      <c r="N40" s="459"/>
      <c r="O40" s="459"/>
      <c r="P40" s="459"/>
      <c r="Q40" s="459"/>
      <c r="R40" s="459"/>
      <c r="S40" s="459"/>
      <c r="T40" s="459"/>
    </row>
    <row r="41" spans="1:20" ht="21" customHeight="1" x14ac:dyDescent="0.35">
      <c r="A41" s="449"/>
      <c r="B41" s="469" t="s">
        <v>480</v>
      </c>
      <c r="C41" s="476"/>
      <c r="D41" s="496">
        <f>1250/4</f>
        <v>312.5</v>
      </c>
      <c r="E41" s="463"/>
      <c r="F41" s="496">
        <v>312</v>
      </c>
      <c r="G41" s="463"/>
      <c r="H41" s="496">
        <v>313</v>
      </c>
      <c r="I41" s="463"/>
      <c r="J41" s="496">
        <v>312</v>
      </c>
      <c r="K41" s="463"/>
      <c r="L41" s="468">
        <f t="shared" si="1"/>
        <v>1249.5</v>
      </c>
      <c r="M41" s="490"/>
      <c r="N41" s="459"/>
      <c r="O41" s="459"/>
      <c r="P41" s="459"/>
      <c r="Q41" s="459"/>
      <c r="R41" s="459"/>
      <c r="S41" s="459"/>
      <c r="T41" s="459"/>
    </row>
    <row r="42" spans="1:20" ht="21" customHeight="1" x14ac:dyDescent="0.35">
      <c r="A42" s="449"/>
      <c r="B42" s="469" t="s">
        <v>481</v>
      </c>
      <c r="C42" s="476"/>
      <c r="D42" s="467">
        <v>5000</v>
      </c>
      <c r="E42" s="463"/>
      <c r="F42" s="467">
        <v>6000</v>
      </c>
      <c r="G42" s="463"/>
      <c r="H42" s="467">
        <v>4000</v>
      </c>
      <c r="I42" s="463"/>
      <c r="J42" s="467">
        <v>6000</v>
      </c>
      <c r="K42" s="463"/>
      <c r="L42" s="468">
        <f t="shared" si="1"/>
        <v>21000</v>
      </c>
      <c r="M42" s="490"/>
      <c r="N42" s="459"/>
      <c r="O42" s="459"/>
      <c r="P42" s="459"/>
      <c r="Q42" s="459"/>
      <c r="R42" s="459"/>
      <c r="S42" s="459"/>
      <c r="T42" s="459"/>
    </row>
    <row r="43" spans="1:20" ht="21" customHeight="1" x14ac:dyDescent="0.35">
      <c r="A43" s="449"/>
      <c r="B43" s="469" t="s">
        <v>482</v>
      </c>
      <c r="C43" s="476"/>
      <c r="D43" s="497"/>
      <c r="E43" s="463"/>
      <c r="F43" s="496">
        <v>1000</v>
      </c>
      <c r="G43" s="463"/>
      <c r="H43" s="496"/>
      <c r="I43" s="463"/>
      <c r="J43" s="496"/>
      <c r="K43" s="463"/>
      <c r="L43" s="468">
        <f t="shared" si="1"/>
        <v>1000</v>
      </c>
      <c r="N43" s="459"/>
      <c r="O43" s="459"/>
      <c r="P43" s="459"/>
      <c r="Q43" s="459"/>
      <c r="R43" s="459"/>
      <c r="S43" s="459"/>
      <c r="T43" s="459"/>
    </row>
    <row r="44" spans="1:20" ht="3.75" customHeight="1" thickBot="1" x14ac:dyDescent="0.4">
      <c r="A44" s="498"/>
      <c r="B44" s="471"/>
      <c r="C44" s="499"/>
      <c r="D44" s="473"/>
      <c r="E44" s="473"/>
      <c r="F44" s="500"/>
      <c r="G44" s="473"/>
      <c r="H44" s="500"/>
      <c r="I44" s="473"/>
      <c r="J44" s="500"/>
      <c r="K44" s="473"/>
      <c r="L44" s="474"/>
      <c r="N44" s="459"/>
      <c r="O44" s="459"/>
      <c r="P44" s="459"/>
      <c r="Q44" s="459"/>
      <c r="R44" s="459"/>
      <c r="S44" s="459"/>
      <c r="T44" s="459"/>
    </row>
    <row r="45" spans="1:20" ht="21.75" customHeight="1" x14ac:dyDescent="0.35">
      <c r="A45" s="449" t="s">
        <v>483</v>
      </c>
      <c r="B45" s="475" t="s">
        <v>484</v>
      </c>
      <c r="C45" s="476"/>
      <c r="D45" s="477">
        <f>SUM(D16:D43)</f>
        <v>8299.5</v>
      </c>
      <c r="E45" s="478"/>
      <c r="F45" s="477">
        <f>SUM(F16:F43)</f>
        <v>13326</v>
      </c>
      <c r="G45" s="478"/>
      <c r="H45" s="477">
        <f>SUM(H16:H43)</f>
        <v>9945</v>
      </c>
      <c r="I45" s="478"/>
      <c r="J45" s="477">
        <f>SUM(J16:J43)</f>
        <v>14403</v>
      </c>
      <c r="K45" s="478"/>
      <c r="L45" s="464">
        <f>SUM(L16:L43)</f>
        <v>45973.5</v>
      </c>
      <c r="N45" s="459"/>
      <c r="O45" s="459"/>
      <c r="P45" s="459"/>
      <c r="Q45" s="459"/>
      <c r="R45" s="459"/>
      <c r="S45" s="459"/>
      <c r="T45" s="459"/>
    </row>
    <row r="46" spans="1:20" ht="27.75" customHeight="1" x14ac:dyDescent="0.35">
      <c r="A46" s="449" t="s">
        <v>485</v>
      </c>
      <c r="B46" s="475" t="s">
        <v>486</v>
      </c>
      <c r="C46" s="476"/>
      <c r="D46" s="477">
        <f>D13-D45</f>
        <v>-299.5</v>
      </c>
      <c r="E46" s="478"/>
      <c r="F46" s="477">
        <f>F13-F45</f>
        <v>-4676</v>
      </c>
      <c r="G46" s="478"/>
      <c r="H46" s="477">
        <f>H13-H45</f>
        <v>19505</v>
      </c>
      <c r="I46" s="478"/>
      <c r="J46" s="477">
        <f>J13-J45</f>
        <v>597</v>
      </c>
      <c r="K46" s="478"/>
      <c r="L46" s="464">
        <f>L13-L45</f>
        <v>15126.5</v>
      </c>
      <c r="N46" s="459"/>
      <c r="O46" s="459"/>
      <c r="P46" s="459"/>
      <c r="Q46" s="459"/>
      <c r="R46" s="459"/>
      <c r="S46" s="459"/>
      <c r="T46" s="459"/>
    </row>
    <row r="47" spans="1:20" ht="15.5" x14ac:dyDescent="0.35">
      <c r="A47" s="449"/>
      <c r="B47" s="501" t="s">
        <v>487</v>
      </c>
      <c r="C47" s="480"/>
      <c r="D47" s="478"/>
      <c r="E47" s="478"/>
      <c r="F47" s="502"/>
      <c r="G47" s="478"/>
      <c r="H47" s="478"/>
      <c r="I47" s="478"/>
      <c r="J47" s="478"/>
      <c r="K47" s="478"/>
      <c r="L47" s="503" t="s">
        <v>488</v>
      </c>
      <c r="N47" s="459"/>
      <c r="O47" s="459"/>
      <c r="P47" s="459"/>
      <c r="Q47" s="459"/>
      <c r="R47" s="459"/>
      <c r="S47" s="459"/>
      <c r="T47" s="459"/>
    </row>
    <row r="48" spans="1:20" ht="18.75" customHeight="1" x14ac:dyDescent="0.35">
      <c r="A48" s="449" t="s">
        <v>304</v>
      </c>
      <c r="B48" s="475" t="s">
        <v>489</v>
      </c>
      <c r="C48" s="480"/>
      <c r="D48" s="462">
        <v>5000</v>
      </c>
      <c r="E48" s="463"/>
      <c r="F48" s="477">
        <f>D68</f>
        <v>4700.5</v>
      </c>
      <c r="G48" s="478"/>
      <c r="H48" s="477">
        <f>F68</f>
        <v>1000</v>
      </c>
      <c r="I48" s="478"/>
      <c r="J48" s="477">
        <f>H68</f>
        <v>19490.48</v>
      </c>
      <c r="K48" s="478"/>
      <c r="L48" s="464">
        <f>D48</f>
        <v>5000</v>
      </c>
      <c r="N48" s="459"/>
      <c r="O48" s="459"/>
      <c r="P48" s="459"/>
      <c r="Q48" s="459"/>
      <c r="R48" s="459"/>
      <c r="S48" s="459"/>
      <c r="T48" s="459"/>
    </row>
    <row r="49" spans="1:20" ht="15" customHeight="1" x14ac:dyDescent="0.35">
      <c r="A49" s="449"/>
      <c r="B49" s="479"/>
      <c r="C49" s="480"/>
      <c r="D49" s="478"/>
      <c r="E49" s="478"/>
      <c r="F49" s="478"/>
      <c r="G49" s="478"/>
      <c r="H49" s="478"/>
      <c r="I49" s="478"/>
      <c r="J49" s="478"/>
      <c r="K49" s="478"/>
      <c r="L49" s="503" t="s">
        <v>490</v>
      </c>
      <c r="N49" s="459"/>
      <c r="O49" s="459"/>
      <c r="P49" s="459"/>
      <c r="Q49" s="459"/>
      <c r="R49" s="459"/>
      <c r="S49" s="459"/>
      <c r="T49" s="459"/>
    </row>
    <row r="50" spans="1:20" ht="19.5" customHeight="1" x14ac:dyDescent="0.35">
      <c r="A50" s="449" t="s">
        <v>491</v>
      </c>
      <c r="B50" s="475" t="s">
        <v>492</v>
      </c>
      <c r="C50" s="480"/>
      <c r="D50" s="477">
        <f>D46+D48</f>
        <v>4700.5</v>
      </c>
      <c r="E50" s="478"/>
      <c r="F50" s="477">
        <f>F46+F48</f>
        <v>24.5</v>
      </c>
      <c r="G50" s="478"/>
      <c r="H50" s="477">
        <f>H46+H48</f>
        <v>20505</v>
      </c>
      <c r="I50" s="478"/>
      <c r="J50" s="477">
        <f>J46+J48</f>
        <v>20087.48</v>
      </c>
      <c r="K50" s="478"/>
      <c r="L50" s="464">
        <f>L46+L48</f>
        <v>20126.5</v>
      </c>
      <c r="N50" s="459"/>
      <c r="O50" s="459"/>
      <c r="P50" s="459"/>
      <c r="Q50" s="459"/>
      <c r="R50" s="459"/>
      <c r="S50" s="459"/>
      <c r="T50" s="459"/>
    </row>
    <row r="51" spans="1:20" ht="15.5" x14ac:dyDescent="0.35">
      <c r="A51" s="449"/>
      <c r="B51" s="501" t="s">
        <v>493</v>
      </c>
      <c r="C51" s="480"/>
      <c r="D51" s="478"/>
      <c r="E51" s="478"/>
      <c r="F51" s="478"/>
      <c r="G51" s="478"/>
      <c r="H51" s="478"/>
      <c r="I51" s="478"/>
      <c r="J51" s="478"/>
      <c r="K51" s="478"/>
      <c r="L51" s="503" t="s">
        <v>494</v>
      </c>
      <c r="N51" s="459"/>
      <c r="O51" s="459"/>
      <c r="P51" s="459"/>
      <c r="Q51" s="459"/>
      <c r="R51" s="459"/>
      <c r="S51" s="459"/>
      <c r="T51" s="459"/>
    </row>
    <row r="52" spans="1:20" ht="15.5" x14ac:dyDescent="0.35">
      <c r="A52" s="449" t="s">
        <v>302</v>
      </c>
      <c r="B52" s="475" t="s">
        <v>495</v>
      </c>
      <c r="C52" s="480"/>
      <c r="D52" s="462">
        <v>1000</v>
      </c>
      <c r="E52" s="463"/>
      <c r="F52" s="477">
        <f>D52</f>
        <v>1000</v>
      </c>
      <c r="G52" s="478"/>
      <c r="H52" s="477">
        <f>F52</f>
        <v>1000</v>
      </c>
      <c r="I52" s="478"/>
      <c r="J52" s="477">
        <f>H52</f>
        <v>1000</v>
      </c>
      <c r="K52" s="478"/>
      <c r="L52" s="504"/>
      <c r="N52" s="459"/>
      <c r="O52" s="459"/>
      <c r="P52" s="459"/>
      <c r="Q52" s="459"/>
      <c r="R52" s="459"/>
      <c r="S52" s="459"/>
      <c r="T52" s="459"/>
    </row>
    <row r="53" spans="1:20" ht="15" customHeight="1" x14ac:dyDescent="0.35">
      <c r="A53" s="449"/>
      <c r="B53" s="479"/>
      <c r="C53" s="480"/>
      <c r="D53" s="478"/>
      <c r="E53" s="478"/>
      <c r="F53" s="478"/>
      <c r="G53" s="478"/>
      <c r="H53" s="478"/>
      <c r="I53" s="478"/>
      <c r="J53" s="478"/>
      <c r="K53" s="478"/>
      <c r="L53" s="504"/>
      <c r="N53" s="459"/>
      <c r="O53" s="459"/>
      <c r="P53" s="459"/>
      <c r="Q53" s="459"/>
      <c r="R53" s="459"/>
      <c r="S53" s="459"/>
      <c r="T53" s="459"/>
    </row>
    <row r="54" spans="1:20" ht="15.5" x14ac:dyDescent="0.35">
      <c r="A54" s="449" t="s">
        <v>308</v>
      </c>
      <c r="B54" s="475" t="s">
        <v>496</v>
      </c>
      <c r="C54" s="480"/>
      <c r="D54" s="477">
        <f>IF(D50&gt;D52,D50-D52,0)</f>
        <v>3700.5</v>
      </c>
      <c r="E54" s="478"/>
      <c r="F54" s="477">
        <f>IF(F50&gt;F52,F50-F52,0)</f>
        <v>0</v>
      </c>
      <c r="G54" s="478"/>
      <c r="H54" s="477">
        <f>IF(H50&gt;H52,H50-H52,0)</f>
        <v>19505</v>
      </c>
      <c r="I54" s="478"/>
      <c r="J54" s="477">
        <f>IF(J50&gt;J52,J50-J52,0)</f>
        <v>19087.48</v>
      </c>
      <c r="K54" s="478"/>
      <c r="L54" s="504"/>
      <c r="N54" s="459"/>
      <c r="O54" s="459"/>
      <c r="P54" s="459"/>
      <c r="Q54" s="459"/>
      <c r="R54" s="459"/>
      <c r="S54" s="459"/>
      <c r="T54" s="459"/>
    </row>
    <row r="55" spans="1:20" ht="15" customHeight="1" x14ac:dyDescent="0.35">
      <c r="A55" s="449"/>
      <c r="B55" s="501" t="s">
        <v>497</v>
      </c>
      <c r="C55" s="480"/>
      <c r="D55" s="478"/>
      <c r="E55" s="478"/>
      <c r="F55" s="478"/>
      <c r="G55" s="478"/>
      <c r="H55" s="478"/>
      <c r="I55" s="478"/>
      <c r="J55" s="478"/>
      <c r="K55" s="478"/>
      <c r="L55" s="504"/>
      <c r="N55" s="459"/>
      <c r="O55" s="459"/>
      <c r="P55" s="459"/>
      <c r="Q55" s="459"/>
      <c r="R55" s="459"/>
      <c r="S55" s="459"/>
      <c r="T55" s="459"/>
    </row>
    <row r="56" spans="1:20" ht="15.75" customHeight="1" x14ac:dyDescent="0.35">
      <c r="A56" s="449" t="s">
        <v>288</v>
      </c>
      <c r="B56" s="475" t="s">
        <v>498</v>
      </c>
      <c r="C56" s="505">
        <v>0.08</v>
      </c>
      <c r="D56" s="477">
        <f>IF(D52&gt;D50,D52-D50,0)</f>
        <v>0</v>
      </c>
      <c r="E56" s="478"/>
      <c r="F56" s="477">
        <f>IF(F52&gt;F50,F52-F50,0)</f>
        <v>975.5</v>
      </c>
      <c r="G56" s="478"/>
      <c r="H56" s="477">
        <f>IF(H52&gt;H50,H52-H50,0)</f>
        <v>0</v>
      </c>
      <c r="I56" s="478"/>
      <c r="J56" s="477">
        <f>IF(J52&gt;J50,J52-J50,0)</f>
        <v>0</v>
      </c>
      <c r="K56" s="478"/>
      <c r="L56" s="464">
        <f>SUM(D56:J56)</f>
        <v>975.5</v>
      </c>
      <c r="N56" s="459"/>
      <c r="O56" s="459"/>
      <c r="P56" s="459"/>
      <c r="Q56" s="459"/>
      <c r="R56" s="459"/>
      <c r="S56" s="459"/>
      <c r="T56" s="459"/>
    </row>
    <row r="57" spans="1:20" ht="18" customHeight="1" x14ac:dyDescent="0.35">
      <c r="A57" s="449"/>
      <c r="B57" s="501" t="s">
        <v>499</v>
      </c>
      <c r="C57" s="479"/>
      <c r="D57" s="506"/>
      <c r="E57" s="478"/>
      <c r="F57" s="478"/>
      <c r="G57" s="478"/>
      <c r="H57" s="478"/>
      <c r="I57" s="478"/>
      <c r="J57" s="478"/>
      <c r="K57" s="478"/>
      <c r="L57" s="507" t="s">
        <v>500</v>
      </c>
      <c r="N57" s="459"/>
      <c r="O57" s="459"/>
      <c r="P57" s="459"/>
      <c r="Q57" s="459"/>
      <c r="R57" s="459"/>
      <c r="S57" s="459"/>
      <c r="T57" s="459"/>
    </row>
    <row r="58" spans="1:20" ht="15.5" x14ac:dyDescent="0.35">
      <c r="A58" s="449" t="s">
        <v>293</v>
      </c>
      <c r="B58" s="475" t="s">
        <v>501</v>
      </c>
      <c r="C58" s="508">
        <v>0</v>
      </c>
      <c r="D58" s="509">
        <f>C58+D56</f>
        <v>0</v>
      </c>
      <c r="E58" s="478"/>
      <c r="F58" s="477">
        <f>D58-D66+F56</f>
        <v>975.5</v>
      </c>
      <c r="G58" s="478"/>
      <c r="H58" s="477">
        <f>F58-F66+H56</f>
        <v>975.5</v>
      </c>
      <c r="I58" s="478"/>
      <c r="J58" s="477">
        <f>H58-H66+J56</f>
        <v>0</v>
      </c>
      <c r="K58" s="478"/>
      <c r="L58" s="510">
        <f>J58-J66</f>
        <v>0</v>
      </c>
      <c r="N58" s="459"/>
      <c r="O58" s="459"/>
      <c r="P58" s="459"/>
      <c r="Q58" s="459"/>
      <c r="R58" s="459"/>
      <c r="S58" s="459"/>
      <c r="T58" s="459"/>
    </row>
    <row r="59" spans="1:20" ht="23.25" customHeight="1" x14ac:dyDescent="0.35">
      <c r="A59" s="449"/>
      <c r="B59" s="645" t="s">
        <v>724</v>
      </c>
      <c r="C59" s="646"/>
      <c r="D59" s="511"/>
      <c r="E59" s="478"/>
      <c r="F59" s="478"/>
      <c r="G59" s="478"/>
      <c r="H59" s="478"/>
      <c r="I59" s="478"/>
      <c r="J59" s="478"/>
      <c r="K59" s="478"/>
      <c r="L59" s="507" t="s">
        <v>503</v>
      </c>
      <c r="N59" s="459"/>
      <c r="O59" s="459"/>
      <c r="P59" s="459"/>
      <c r="Q59" s="459"/>
      <c r="R59" s="459"/>
      <c r="S59" s="459"/>
      <c r="T59" s="459"/>
    </row>
    <row r="60" spans="1:20" ht="15.5" x14ac:dyDescent="0.35">
      <c r="A60" s="449" t="s">
        <v>504</v>
      </c>
      <c r="B60" s="475" t="s">
        <v>505</v>
      </c>
      <c r="C60" s="508">
        <v>0</v>
      </c>
      <c r="D60" s="512">
        <f>D58*$C$56/4+C60</f>
        <v>0</v>
      </c>
      <c r="E60" s="513"/>
      <c r="F60" s="514">
        <f>F58*$C$56/4+D60-D62</f>
        <v>19.510000000000002</v>
      </c>
      <c r="G60" s="513"/>
      <c r="H60" s="514">
        <f>H58*$C$56/4+F60-F62</f>
        <v>39.020000000000003</v>
      </c>
      <c r="I60" s="513"/>
      <c r="J60" s="514">
        <f>J58*$C$56/4+H60-H62</f>
        <v>0</v>
      </c>
      <c r="K60" s="513"/>
      <c r="L60" s="510">
        <f>J60-J62</f>
        <v>0</v>
      </c>
      <c r="N60" s="459"/>
      <c r="O60" s="459"/>
      <c r="P60" s="459"/>
      <c r="Q60" s="459"/>
      <c r="R60" s="459"/>
      <c r="S60" s="459"/>
      <c r="T60" s="459"/>
    </row>
    <row r="61" spans="1:20" ht="22.5" customHeight="1" x14ac:dyDescent="0.35">
      <c r="A61" s="449"/>
      <c r="B61" s="515" t="s">
        <v>725</v>
      </c>
      <c r="C61" s="479"/>
      <c r="D61" s="511"/>
      <c r="E61" s="478"/>
      <c r="F61" s="478"/>
      <c r="G61" s="478"/>
      <c r="H61" s="478"/>
      <c r="I61" s="478"/>
      <c r="J61" s="478"/>
      <c r="K61" s="478"/>
      <c r="L61" s="507" t="s">
        <v>507</v>
      </c>
      <c r="N61" s="459"/>
      <c r="O61" s="459"/>
      <c r="P61" s="459"/>
      <c r="Q61" s="459"/>
      <c r="R61" s="459"/>
      <c r="S61" s="459"/>
      <c r="T61" s="459"/>
    </row>
    <row r="62" spans="1:20" ht="15.5" x14ac:dyDescent="0.35">
      <c r="A62" s="449" t="s">
        <v>508</v>
      </c>
      <c r="B62" s="475" t="s">
        <v>509</v>
      </c>
      <c r="C62" s="516"/>
      <c r="D62" s="477">
        <f>IF(D54&gt;D60,D60,D54)</f>
        <v>0</v>
      </c>
      <c r="E62" s="478"/>
      <c r="F62" s="477">
        <f>IF(F54&gt;F60,F60,F54)</f>
        <v>0</v>
      </c>
      <c r="G62" s="478"/>
      <c r="H62" s="477">
        <f>IF(H54&gt;H60,H60,H54)</f>
        <v>39.020000000000003</v>
      </c>
      <c r="I62" s="478"/>
      <c r="J62" s="477">
        <f>IF(J54&gt;J60,J60,J54)</f>
        <v>0</v>
      </c>
      <c r="K62" s="478"/>
      <c r="L62" s="464">
        <f>SUM(D62:J62)</f>
        <v>39.020000000000003</v>
      </c>
      <c r="N62" s="459"/>
      <c r="O62" s="459"/>
      <c r="P62" s="459"/>
      <c r="Q62" s="459"/>
      <c r="R62" s="459"/>
      <c r="S62" s="459"/>
      <c r="T62" s="459"/>
    </row>
    <row r="63" spans="1:20" ht="15" customHeight="1" x14ac:dyDescent="0.35">
      <c r="A63" s="449"/>
      <c r="B63" s="501" t="s">
        <v>510</v>
      </c>
      <c r="C63" s="517"/>
      <c r="D63" s="478"/>
      <c r="E63" s="478"/>
      <c r="F63" s="478"/>
      <c r="G63" s="478"/>
      <c r="H63" s="478"/>
      <c r="I63" s="478"/>
      <c r="J63" s="478"/>
      <c r="K63" s="478"/>
      <c r="L63" s="507" t="s">
        <v>511</v>
      </c>
      <c r="N63" s="459"/>
      <c r="O63" s="459"/>
      <c r="P63" s="459"/>
      <c r="Q63" s="459"/>
      <c r="R63" s="459"/>
      <c r="S63" s="459"/>
      <c r="T63" s="459"/>
    </row>
    <row r="64" spans="1:20" ht="15.5" x14ac:dyDescent="0.35">
      <c r="A64" s="449" t="s">
        <v>512</v>
      </c>
      <c r="B64" s="475" t="s">
        <v>513</v>
      </c>
      <c r="C64" s="480"/>
      <c r="D64" s="477">
        <f>D54-D62</f>
        <v>3700.5</v>
      </c>
      <c r="E64" s="463"/>
      <c r="F64" s="477">
        <f>F54-F62</f>
        <v>0</v>
      </c>
      <c r="G64" s="463"/>
      <c r="H64" s="477">
        <f>H54-H62</f>
        <v>19465.98</v>
      </c>
      <c r="I64" s="463"/>
      <c r="J64" s="477">
        <f>J54-J62</f>
        <v>19087.48</v>
      </c>
      <c r="K64" s="513"/>
      <c r="L64" s="518"/>
      <c r="N64" s="459"/>
      <c r="O64" s="459"/>
      <c r="P64" s="459"/>
      <c r="Q64" s="459"/>
      <c r="R64" s="459"/>
      <c r="S64" s="459"/>
      <c r="T64" s="459"/>
    </row>
    <row r="65" spans="1:12" ht="15" customHeight="1" x14ac:dyDescent="0.35">
      <c r="A65" s="449"/>
      <c r="B65" s="501" t="s">
        <v>514</v>
      </c>
      <c r="C65" s="480"/>
      <c r="D65" s="478"/>
      <c r="E65" s="478"/>
      <c r="F65" s="478"/>
      <c r="G65" s="478"/>
      <c r="H65" s="478"/>
      <c r="I65" s="478"/>
      <c r="J65" s="478"/>
      <c r="K65" s="478"/>
      <c r="L65" s="504"/>
    </row>
    <row r="66" spans="1:12" ht="15.5" x14ac:dyDescent="0.35">
      <c r="A66" s="449" t="s">
        <v>515</v>
      </c>
      <c r="B66" s="475" t="s">
        <v>516</v>
      </c>
      <c r="C66" s="480"/>
      <c r="D66" s="477">
        <f>IF(D64&gt;D58,D58,D64)</f>
        <v>0</v>
      </c>
      <c r="E66" s="478"/>
      <c r="F66" s="477">
        <f>IF(F64&gt;F58,F58,F64)</f>
        <v>0</v>
      </c>
      <c r="G66" s="478"/>
      <c r="H66" s="477">
        <f>IF(H64&gt;H58,H58,H64)</f>
        <v>975.5</v>
      </c>
      <c r="I66" s="478"/>
      <c r="J66" s="477">
        <f>IF(J64&gt;J58,J58,J64)</f>
        <v>0</v>
      </c>
      <c r="K66" s="478"/>
      <c r="L66" s="464">
        <f>SUM(D66:J66)</f>
        <v>975.5</v>
      </c>
    </row>
    <row r="67" spans="1:12" ht="13" x14ac:dyDescent="0.3">
      <c r="A67" s="449"/>
      <c r="B67" s="501" t="s">
        <v>517</v>
      </c>
      <c r="C67" s="480"/>
      <c r="D67" s="481"/>
      <c r="E67" s="481"/>
      <c r="F67" s="481"/>
      <c r="G67" s="481"/>
      <c r="H67" s="481"/>
      <c r="I67" s="481"/>
      <c r="J67" s="481"/>
      <c r="K67" s="481"/>
      <c r="L67" s="507" t="s">
        <v>518</v>
      </c>
    </row>
    <row r="68" spans="1:12" ht="15.5" x14ac:dyDescent="0.35">
      <c r="A68" s="449" t="s">
        <v>519</v>
      </c>
      <c r="B68" s="475" t="s">
        <v>520</v>
      </c>
      <c r="C68" s="516"/>
      <c r="D68" s="477">
        <f>D50+D56-D62-D66</f>
        <v>4700.5</v>
      </c>
      <c r="E68" s="478"/>
      <c r="F68" s="477">
        <f>F50+F56-F62-F66</f>
        <v>1000</v>
      </c>
      <c r="G68" s="478"/>
      <c r="H68" s="477">
        <f>H50+H56-H62-H66</f>
        <v>19490.48</v>
      </c>
      <c r="I68" s="478"/>
      <c r="J68" s="477">
        <f>J50+J56-J62-J66</f>
        <v>20087.48</v>
      </c>
      <c r="K68" s="478"/>
      <c r="L68" s="464">
        <f>L50+L56-L62-L66</f>
        <v>20087.48</v>
      </c>
    </row>
    <row r="69" spans="1:12" ht="13" thickBot="1" x14ac:dyDescent="0.3">
      <c r="A69" s="519"/>
      <c r="B69" s="520" t="s">
        <v>521</v>
      </c>
      <c r="C69" s="521"/>
      <c r="D69" s="522"/>
      <c r="E69" s="522"/>
      <c r="F69" s="522"/>
      <c r="G69" s="522"/>
      <c r="H69" s="522"/>
      <c r="I69" s="522"/>
      <c r="J69" s="522"/>
      <c r="K69" s="522"/>
      <c r="L69" s="523" t="s">
        <v>522</v>
      </c>
    </row>
    <row r="72" spans="1:12" ht="14.5" x14ac:dyDescent="0.35">
      <c r="B72" s="4" t="s">
        <v>650</v>
      </c>
    </row>
  </sheetData>
  <mergeCells count="3">
    <mergeCell ref="A1:L1"/>
    <mergeCell ref="A3:B3"/>
    <mergeCell ref="B59:C59"/>
  </mergeCells>
  <printOptions horizontalCentered="1"/>
  <pageMargins left="0.75" right="0.75" top="0.75" bottom="0.75" header="0" footer="0"/>
  <pageSetup scale="51" orientation="portrait" horizontalDpi="4294967293" verticalDpi="4294967293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30605-13E2-4F0F-8475-FD8AC72BAF75}">
  <dimension ref="A1:S25"/>
  <sheetViews>
    <sheetView showGridLines="0" tabSelected="1" workbookViewId="0">
      <selection activeCell="L11" sqref="L11"/>
    </sheetView>
  </sheetViews>
  <sheetFormatPr defaultRowHeight="18.5" x14ac:dyDescent="0.45"/>
  <cols>
    <col min="1" max="1" width="34" style="357" customWidth="1"/>
    <col min="2" max="2" width="16.453125" style="357" customWidth="1"/>
    <col min="3" max="3" width="17.54296875" style="357" customWidth="1"/>
    <col min="4" max="4" width="4.54296875" style="357" customWidth="1"/>
    <col min="5" max="5" width="5.1796875" style="358" customWidth="1"/>
    <col min="6" max="6" width="38.90625" style="357" customWidth="1"/>
    <col min="7" max="7" width="16.36328125" style="357" customWidth="1"/>
    <col min="8" max="8" width="16.7265625" style="357" customWidth="1"/>
    <col min="9" max="12" width="8.7265625" style="357"/>
    <col min="13" max="13" width="37.90625" style="357" hidden="1" customWidth="1"/>
    <col min="14" max="14" width="3.7265625" style="357" hidden="1" customWidth="1"/>
    <col min="15" max="15" width="36.7265625" style="357" hidden="1" customWidth="1"/>
    <col min="16" max="19" width="8.7265625" style="357" hidden="1" customWidth="1"/>
    <col min="20" max="21" width="8.7265625" style="357" customWidth="1"/>
    <col min="22" max="16384" width="8.7265625" style="357"/>
  </cols>
  <sheetData>
    <row r="1" spans="1:18" ht="23.5" x14ac:dyDescent="0.55000000000000004">
      <c r="A1" s="361" t="s">
        <v>356</v>
      </c>
    </row>
    <row r="3" spans="1:18" ht="19" thickBot="1" x14ac:dyDescent="0.5"/>
    <row r="4" spans="1:18" ht="19" thickBot="1" x14ac:dyDescent="0.5">
      <c r="A4" s="362" t="s">
        <v>357</v>
      </c>
      <c r="B4" s="363" t="s">
        <v>358</v>
      </c>
      <c r="C4" s="364" t="s">
        <v>359</v>
      </c>
      <c r="E4" s="362" t="s">
        <v>360</v>
      </c>
      <c r="F4" s="365"/>
      <c r="G4" s="366" t="s">
        <v>358</v>
      </c>
      <c r="H4" s="364" t="s">
        <v>359</v>
      </c>
    </row>
    <row r="5" spans="1:18" x14ac:dyDescent="0.45">
      <c r="A5" s="367" t="s">
        <v>361</v>
      </c>
      <c r="B5" s="368">
        <v>50000</v>
      </c>
      <c r="C5" s="369">
        <v>50000</v>
      </c>
      <c r="E5" s="370" t="s">
        <v>362</v>
      </c>
      <c r="F5" s="359"/>
      <c r="G5" s="371"/>
      <c r="H5" s="372"/>
      <c r="N5" s="357" t="s">
        <v>362</v>
      </c>
      <c r="P5" s="357" t="s">
        <v>363</v>
      </c>
      <c r="Q5" s="357" t="s">
        <v>364</v>
      </c>
      <c r="R5" s="357" t="s">
        <v>365</v>
      </c>
    </row>
    <row r="6" spans="1:18" x14ac:dyDescent="0.45">
      <c r="A6" s="367" t="s">
        <v>366</v>
      </c>
      <c r="B6" s="368">
        <v>1000000</v>
      </c>
      <c r="C6" s="369">
        <v>1000000</v>
      </c>
      <c r="E6" s="370"/>
      <c r="F6" s="359" t="s">
        <v>367</v>
      </c>
      <c r="G6" s="373">
        <f>IFERROR(B5/B7,"NA")</f>
        <v>0.66666666666666663</v>
      </c>
      <c r="H6" s="374">
        <f>IFERROR(C5/C7,"NA")</f>
        <v>1.4285714285714286</v>
      </c>
      <c r="O6" s="357" t="s">
        <v>367</v>
      </c>
      <c r="P6" s="357">
        <v>1.5</v>
      </c>
      <c r="R6" s="357">
        <v>0.8</v>
      </c>
    </row>
    <row r="7" spans="1:18" ht="19" thickBot="1" x14ac:dyDescent="0.5">
      <c r="A7" s="367" t="s">
        <v>368</v>
      </c>
      <c r="B7" s="368">
        <v>75000</v>
      </c>
      <c r="C7" s="369">
        <v>35000</v>
      </c>
      <c r="E7" s="370"/>
      <c r="F7" s="359" t="s">
        <v>369</v>
      </c>
      <c r="G7" s="375">
        <f>IFERROR((B5-B7)/B13,"NA")</f>
        <v>-1.4285714285714285E-2</v>
      </c>
      <c r="H7" s="376">
        <f>IFERROR((C5-C7)/C13,"NA")</f>
        <v>8.5714285714285719E-3</v>
      </c>
      <c r="O7" s="357" t="s">
        <v>369</v>
      </c>
      <c r="P7" s="377">
        <v>0.25</v>
      </c>
      <c r="R7" s="377">
        <v>0.05</v>
      </c>
    </row>
    <row r="8" spans="1:18" x14ac:dyDescent="0.45">
      <c r="A8" s="367" t="s">
        <v>370</v>
      </c>
      <c r="B8" s="368">
        <v>100000</v>
      </c>
      <c r="C8" s="369">
        <v>560000</v>
      </c>
      <c r="E8" s="378" t="s">
        <v>371</v>
      </c>
      <c r="F8" s="379"/>
      <c r="G8" s="380"/>
      <c r="H8" s="381"/>
      <c r="N8" s="357" t="s">
        <v>371</v>
      </c>
    </row>
    <row r="9" spans="1:18" ht="19" thickBot="1" x14ac:dyDescent="0.5">
      <c r="A9" s="367" t="s">
        <v>372</v>
      </c>
      <c r="B9" s="382">
        <f>B6-B8</f>
        <v>900000</v>
      </c>
      <c r="C9" s="383">
        <f>C6-C8</f>
        <v>440000</v>
      </c>
      <c r="E9" s="384"/>
      <c r="F9" s="360" t="s">
        <v>373</v>
      </c>
      <c r="G9" s="385">
        <f>IFERROR(B9/B6,"NA")</f>
        <v>0.9</v>
      </c>
      <c r="H9" s="386">
        <f>IFERROR(C9/C6,"NA")</f>
        <v>0.44</v>
      </c>
      <c r="O9" s="357" t="s">
        <v>373</v>
      </c>
      <c r="P9" s="377">
        <v>0.7</v>
      </c>
      <c r="R9" s="377">
        <v>0.3</v>
      </c>
    </row>
    <row r="10" spans="1:18" ht="19" thickBot="1" x14ac:dyDescent="0.5">
      <c r="A10" s="367"/>
      <c r="B10" s="387"/>
      <c r="C10" s="383"/>
      <c r="E10" s="370" t="s">
        <v>374</v>
      </c>
      <c r="F10" s="359"/>
      <c r="G10" s="388"/>
      <c r="H10" s="389"/>
      <c r="N10" s="357" t="s">
        <v>374</v>
      </c>
    </row>
    <row r="11" spans="1:18" ht="19" thickBot="1" x14ac:dyDescent="0.5">
      <c r="A11" s="362" t="s">
        <v>375</v>
      </c>
      <c r="B11" s="390"/>
      <c r="C11" s="391"/>
      <c r="E11" s="370"/>
      <c r="F11" s="359" t="s">
        <v>376</v>
      </c>
      <c r="G11" s="375">
        <f>IFERROR(B17/B22,"NA")</f>
        <v>1.8666666666666667</v>
      </c>
      <c r="H11" s="376">
        <f>IFERROR(C17/C22,"NA")</f>
        <v>4.5333333333333332</v>
      </c>
      <c r="O11" s="357" t="s">
        <v>376</v>
      </c>
      <c r="P11" s="377">
        <v>1.5</v>
      </c>
      <c r="R11" s="377">
        <v>1.1000000000000001</v>
      </c>
    </row>
    <row r="12" spans="1:18" ht="19" thickBot="1" x14ac:dyDescent="0.5">
      <c r="A12" s="367" t="s">
        <v>377</v>
      </c>
      <c r="B12" s="392">
        <v>1800000</v>
      </c>
      <c r="C12" s="369">
        <v>2000000</v>
      </c>
      <c r="E12" s="370"/>
      <c r="F12" s="359" t="s">
        <v>378</v>
      </c>
      <c r="G12" s="393">
        <f>IFERROR((B8-B7)/B17,"NA")</f>
        <v>0.17857142857142858</v>
      </c>
      <c r="H12" s="394">
        <f>IFERROR((C8-C7)/C17,"NA")</f>
        <v>1.5441176470588236</v>
      </c>
      <c r="O12" s="357" t="s">
        <v>378</v>
      </c>
      <c r="P12" s="357">
        <v>3</v>
      </c>
      <c r="R12" s="357">
        <v>7</v>
      </c>
    </row>
    <row r="13" spans="1:18" x14ac:dyDescent="0.45">
      <c r="A13" s="367" t="s">
        <v>379</v>
      </c>
      <c r="B13" s="368">
        <v>1750000</v>
      </c>
      <c r="C13" s="369">
        <v>1750000</v>
      </c>
      <c r="E13" s="378" t="s">
        <v>380</v>
      </c>
      <c r="F13" s="379"/>
      <c r="G13" s="380"/>
      <c r="H13" s="381"/>
      <c r="N13" s="357" t="s">
        <v>380</v>
      </c>
    </row>
    <row r="14" spans="1:18" ht="19" thickBot="1" x14ac:dyDescent="0.5">
      <c r="A14" s="367" t="s">
        <v>381</v>
      </c>
      <c r="B14" s="368">
        <v>30000</v>
      </c>
      <c r="C14" s="369">
        <v>30000</v>
      </c>
      <c r="E14" s="384"/>
      <c r="F14" s="360" t="s">
        <v>382</v>
      </c>
      <c r="G14" s="385">
        <f>IFERROR((B16+B14-B20)/B6,"NA")</f>
        <v>0.03</v>
      </c>
      <c r="H14" s="386">
        <f>IFERROR((C16+C14-C20)/C6,"NA")</f>
        <v>0.23</v>
      </c>
      <c r="O14" s="357" t="s">
        <v>382</v>
      </c>
      <c r="P14" s="377">
        <v>0.08</v>
      </c>
      <c r="R14" s="377">
        <v>0.03</v>
      </c>
    </row>
    <row r="15" spans="1:18" x14ac:dyDescent="0.45">
      <c r="A15" s="367" t="s">
        <v>383</v>
      </c>
      <c r="B15" s="368">
        <v>60000</v>
      </c>
      <c r="C15" s="369">
        <v>60000</v>
      </c>
      <c r="E15" s="370" t="s">
        <v>384</v>
      </c>
      <c r="F15" s="359"/>
      <c r="G15" s="388"/>
      <c r="H15" s="389"/>
      <c r="N15" s="357" t="s">
        <v>384</v>
      </c>
    </row>
    <row r="16" spans="1:18" x14ac:dyDescent="0.45">
      <c r="A16" s="367" t="s">
        <v>385</v>
      </c>
      <c r="B16" s="382">
        <f>B12-B13</f>
        <v>50000</v>
      </c>
      <c r="C16" s="383">
        <f>C12-C13</f>
        <v>250000</v>
      </c>
      <c r="E16" s="370"/>
      <c r="F16" s="359" t="s">
        <v>386</v>
      </c>
      <c r="G16" s="375">
        <f>IFERROR((B13-B14-B15)/B12,"NA")</f>
        <v>0.92222222222222228</v>
      </c>
      <c r="H16" s="376">
        <f>IFERROR((C13-C14-C15)/C12,"NA")</f>
        <v>0.83</v>
      </c>
      <c r="O16" s="357" t="s">
        <v>386</v>
      </c>
      <c r="P16" s="377">
        <v>0.7</v>
      </c>
      <c r="R16" s="377">
        <v>0.9</v>
      </c>
    </row>
    <row r="17" spans="1:18" ht="19" thickBot="1" x14ac:dyDescent="0.5">
      <c r="A17" s="367" t="s">
        <v>387</v>
      </c>
      <c r="B17" s="382">
        <f>B16+B14+B15</f>
        <v>140000</v>
      </c>
      <c r="C17" s="383">
        <f>C16+C14+C15</f>
        <v>340000</v>
      </c>
      <c r="E17" s="384"/>
      <c r="F17" s="360" t="s">
        <v>388</v>
      </c>
      <c r="G17" s="385">
        <f>IFERROR(B12/B6,"NA")</f>
        <v>1.8</v>
      </c>
      <c r="H17" s="386">
        <f>IFERROR(C12/C6,"NA")</f>
        <v>2</v>
      </c>
      <c r="O17" s="357" t="s">
        <v>388</v>
      </c>
      <c r="P17" s="377">
        <v>0.3</v>
      </c>
      <c r="R17" s="377">
        <v>0.1</v>
      </c>
    </row>
    <row r="18" spans="1:18" ht="19" thickBot="1" x14ac:dyDescent="0.5">
      <c r="A18" s="367"/>
      <c r="B18" s="395"/>
      <c r="C18" s="372"/>
    </row>
    <row r="19" spans="1:18" ht="19" thickBot="1" x14ac:dyDescent="0.5">
      <c r="A19" s="362" t="s">
        <v>389</v>
      </c>
      <c r="B19" s="390"/>
      <c r="C19" s="391"/>
    </row>
    <row r="20" spans="1:18" ht="37" x14ac:dyDescent="0.45">
      <c r="A20" s="672" t="s">
        <v>390</v>
      </c>
      <c r="B20" s="673">
        <v>50000</v>
      </c>
      <c r="C20" s="674">
        <v>50000</v>
      </c>
    </row>
    <row r="21" spans="1:18" x14ac:dyDescent="0.45">
      <c r="A21" s="367" t="s">
        <v>391</v>
      </c>
      <c r="B21" s="368">
        <v>15000</v>
      </c>
      <c r="C21" s="369">
        <v>15000</v>
      </c>
    </row>
    <row r="22" spans="1:18" ht="19" thickBot="1" x14ac:dyDescent="0.5">
      <c r="A22" s="396" t="s">
        <v>392</v>
      </c>
      <c r="B22" s="397">
        <v>75000</v>
      </c>
      <c r="C22" s="398">
        <v>75000</v>
      </c>
    </row>
    <row r="24" spans="1:18" x14ac:dyDescent="0.45">
      <c r="A24" s="357" t="s">
        <v>393</v>
      </c>
    </row>
    <row r="25" spans="1:18" x14ac:dyDescent="0.45">
      <c r="A25" s="357" t="s">
        <v>394</v>
      </c>
    </row>
  </sheetData>
  <conditionalFormatting sqref="G6">
    <cfRule type="iconSet" priority="16">
      <iconSet iconSet="3TrafficLights2">
        <cfvo type="percent" val="0"/>
        <cfvo type="num" val="$R$6"/>
        <cfvo type="num" val="$P$6"/>
      </iconSet>
    </cfRule>
  </conditionalFormatting>
  <conditionalFormatting sqref="G7">
    <cfRule type="iconSet" priority="15">
      <iconSet iconSet="3TrafficLights2">
        <cfvo type="percent" val="0"/>
        <cfvo type="num" val="$R$7"/>
        <cfvo type="num" val="$P$7"/>
      </iconSet>
    </cfRule>
  </conditionalFormatting>
  <conditionalFormatting sqref="G9">
    <cfRule type="iconSet" priority="14">
      <iconSet iconSet="3TrafficLights2">
        <cfvo type="percent" val="0"/>
        <cfvo type="num" val="$R$9"/>
        <cfvo type="num" val="$P$9"/>
      </iconSet>
    </cfRule>
  </conditionalFormatting>
  <conditionalFormatting sqref="G12">
    <cfRule type="iconSet" priority="13">
      <iconSet iconSet="3TrafficLights2" reverse="1">
        <cfvo type="percent" val="0"/>
        <cfvo type="num" val="$R$12"/>
        <cfvo type="num" val="$P$12"/>
      </iconSet>
    </cfRule>
  </conditionalFormatting>
  <conditionalFormatting sqref="G14">
    <cfRule type="iconSet" priority="12">
      <iconSet iconSet="3TrafficLights2">
        <cfvo type="percent" val="0"/>
        <cfvo type="num" val="$R$14"/>
        <cfvo type="num" val="$P$14"/>
      </iconSet>
    </cfRule>
  </conditionalFormatting>
  <conditionalFormatting sqref="G16">
    <cfRule type="iconSet" priority="11">
      <iconSet iconSet="3TrafficLights2" reverse="1">
        <cfvo type="percent" val="0"/>
        <cfvo type="num" val="$P$16"/>
        <cfvo type="num" val="$R$16"/>
      </iconSet>
    </cfRule>
  </conditionalFormatting>
  <conditionalFormatting sqref="G17">
    <cfRule type="iconSet" priority="10">
      <iconSet iconSet="3TrafficLights2">
        <cfvo type="percent" val="0"/>
        <cfvo type="num" val="$R$17"/>
        <cfvo type="num" val="$P$17"/>
      </iconSet>
    </cfRule>
  </conditionalFormatting>
  <conditionalFormatting sqref="H14">
    <cfRule type="iconSet" priority="4">
      <iconSet iconSet="3TrafficLights2">
        <cfvo type="percent" val="0"/>
        <cfvo type="num" val="$R$14"/>
        <cfvo type="num" val="$P$14"/>
      </iconSet>
    </cfRule>
  </conditionalFormatting>
  <conditionalFormatting sqref="G11">
    <cfRule type="iconSet" priority="9">
      <iconSet iconSet="3TrafficLights2">
        <cfvo type="percent" val="0"/>
        <cfvo type="num" val="$R$11"/>
        <cfvo type="num" val="$P$11"/>
      </iconSet>
    </cfRule>
  </conditionalFormatting>
  <conditionalFormatting sqref="H6">
    <cfRule type="iconSet" priority="8">
      <iconSet iconSet="3TrafficLights2">
        <cfvo type="percent" val="0"/>
        <cfvo type="num" val="$R$6"/>
        <cfvo type="num" val="$P$6"/>
      </iconSet>
    </cfRule>
  </conditionalFormatting>
  <conditionalFormatting sqref="H7">
    <cfRule type="iconSet" priority="7">
      <iconSet iconSet="3TrafficLights2">
        <cfvo type="percent" val="0"/>
        <cfvo type="num" val="$R$7"/>
        <cfvo type="num" val="$P$7"/>
      </iconSet>
    </cfRule>
  </conditionalFormatting>
  <conditionalFormatting sqref="H9">
    <cfRule type="iconSet" priority="6">
      <iconSet iconSet="3TrafficLights2">
        <cfvo type="percent" val="0"/>
        <cfvo type="num" val="$R$9"/>
        <cfvo type="num" val="$P$9"/>
      </iconSet>
    </cfRule>
  </conditionalFormatting>
  <conditionalFormatting sqref="H12">
    <cfRule type="iconSet" priority="5">
      <iconSet iconSet="3TrafficLights2" reverse="1">
        <cfvo type="percent" val="0"/>
        <cfvo type="num" val="$R$12"/>
        <cfvo type="num" val="$P$12"/>
      </iconSet>
    </cfRule>
  </conditionalFormatting>
  <conditionalFormatting sqref="H16">
    <cfRule type="iconSet" priority="3">
      <iconSet iconSet="3TrafficLights2" reverse="1">
        <cfvo type="percent" val="0"/>
        <cfvo type="num" val="$P$16"/>
        <cfvo type="num" val="$R$16"/>
      </iconSet>
    </cfRule>
  </conditionalFormatting>
  <conditionalFormatting sqref="H17">
    <cfRule type="iconSet" priority="2">
      <iconSet iconSet="3TrafficLights2">
        <cfvo type="percent" val="0"/>
        <cfvo type="num" val="$R$17"/>
        <cfvo type="num" val="$P$17"/>
      </iconSet>
    </cfRule>
  </conditionalFormatting>
  <conditionalFormatting sqref="H11">
    <cfRule type="iconSet" priority="1">
      <iconSet iconSet="3TrafficLights2">
        <cfvo type="percent" val="0"/>
        <cfvo type="num" val="$R$11"/>
        <cfvo type="num" val="$P$11"/>
      </iconSet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62EB-8BA5-411A-BDBF-BCF528B24E31}">
  <dimension ref="A1"/>
  <sheetViews>
    <sheetView zoomScale="120" zoomScaleNormal="120" workbookViewId="0"/>
  </sheetViews>
  <sheetFormatPr defaultRowHeight="14.5" x14ac:dyDescent="0.3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5ABE-B7FD-4AD4-B18A-3D1B1F35E043}">
  <dimension ref="A1:J26"/>
  <sheetViews>
    <sheetView zoomScale="120" zoomScaleNormal="120" workbookViewId="0">
      <selection activeCell="A4" sqref="A4:XFD4"/>
    </sheetView>
  </sheetViews>
  <sheetFormatPr defaultRowHeight="14.5" x14ac:dyDescent="0.35"/>
  <cols>
    <col min="1" max="4" width="8.7265625" customWidth="1"/>
  </cols>
  <sheetData>
    <row r="1" spans="1:10" x14ac:dyDescent="0.35">
      <c r="A1" s="678" t="s">
        <v>730</v>
      </c>
    </row>
    <row r="3" spans="1:10" x14ac:dyDescent="0.35">
      <c r="A3" t="s">
        <v>731</v>
      </c>
    </row>
    <row r="4" spans="1:10" x14ac:dyDescent="0.35">
      <c r="B4" s="679" t="s">
        <v>652</v>
      </c>
      <c r="C4" s="679" t="s">
        <v>728</v>
      </c>
      <c r="D4" s="679" t="s">
        <v>122</v>
      </c>
      <c r="E4" s="679" t="s">
        <v>653</v>
      </c>
      <c r="F4" s="679" t="s">
        <v>120</v>
      </c>
      <c r="H4" s="675"/>
      <c r="J4" s="570"/>
    </row>
    <row r="5" spans="1:10" x14ac:dyDescent="0.35">
      <c r="A5" t="s">
        <v>2</v>
      </c>
      <c r="J5" s="570"/>
    </row>
    <row r="6" spans="1:10" x14ac:dyDescent="0.35">
      <c r="B6" t="s">
        <v>732</v>
      </c>
      <c r="C6" t="s">
        <v>729</v>
      </c>
      <c r="D6">
        <v>1000</v>
      </c>
      <c r="E6">
        <v>5</v>
      </c>
      <c r="J6" s="570"/>
    </row>
    <row r="7" spans="1:10" x14ac:dyDescent="0.35">
      <c r="B7" t="s">
        <v>659</v>
      </c>
      <c r="C7" t="s">
        <v>745</v>
      </c>
      <c r="D7">
        <v>300</v>
      </c>
      <c r="E7">
        <v>8</v>
      </c>
      <c r="J7" s="570"/>
    </row>
    <row r="8" spans="1:10" x14ac:dyDescent="0.35">
      <c r="B8" t="s">
        <v>9</v>
      </c>
      <c r="J8" s="13"/>
    </row>
    <row r="9" spans="1:10" x14ac:dyDescent="0.35">
      <c r="A9" t="s">
        <v>352</v>
      </c>
      <c r="J9" s="13"/>
    </row>
    <row r="11" spans="1:10" x14ac:dyDescent="0.35">
      <c r="A11" t="s">
        <v>16</v>
      </c>
    </row>
    <row r="12" spans="1:10" x14ac:dyDescent="0.35">
      <c r="B12" t="s">
        <v>733</v>
      </c>
      <c r="C12" t="s">
        <v>746</v>
      </c>
      <c r="D12">
        <v>350</v>
      </c>
      <c r="E12">
        <v>4.5</v>
      </c>
    </row>
    <row r="13" spans="1:10" x14ac:dyDescent="0.35">
      <c r="B13" t="s">
        <v>353</v>
      </c>
      <c r="C13" t="s">
        <v>94</v>
      </c>
      <c r="D13">
        <v>40</v>
      </c>
      <c r="E13">
        <v>12</v>
      </c>
    </row>
    <row r="14" spans="1:10" x14ac:dyDescent="0.35">
      <c r="B14" t="s">
        <v>355</v>
      </c>
      <c r="C14" t="s">
        <v>737</v>
      </c>
      <c r="D14">
        <v>1</v>
      </c>
      <c r="E14">
        <v>1350</v>
      </c>
    </row>
    <row r="15" spans="1:10" x14ac:dyDescent="0.35">
      <c r="B15" t="s">
        <v>657</v>
      </c>
      <c r="C15" t="s">
        <v>736</v>
      </c>
      <c r="D15">
        <v>1</v>
      </c>
      <c r="E15">
        <v>1500</v>
      </c>
    </row>
    <row r="16" spans="1:10" x14ac:dyDescent="0.35">
      <c r="B16" t="s">
        <v>9</v>
      </c>
    </row>
    <row r="17" spans="1:2" x14ac:dyDescent="0.35">
      <c r="B17" t="s">
        <v>734</v>
      </c>
    </row>
    <row r="18" spans="1:2" x14ac:dyDescent="0.35">
      <c r="A18" t="s">
        <v>379</v>
      </c>
    </row>
    <row r="20" spans="1:2" x14ac:dyDescent="0.35">
      <c r="A20" t="s">
        <v>735</v>
      </c>
    </row>
    <row r="22" spans="1:2" x14ac:dyDescent="0.35">
      <c r="A22" t="s">
        <v>738</v>
      </c>
    </row>
    <row r="24" spans="1:2" x14ac:dyDescent="0.35">
      <c r="A24" t="s">
        <v>739</v>
      </c>
    </row>
    <row r="26" spans="1:2" x14ac:dyDescent="0.35">
      <c r="A26" t="s">
        <v>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Cow Calendar</vt:lpstr>
      <vt:lpstr>Heifer Numbers</vt:lpstr>
      <vt:lpstr>Bee Budget</vt:lpstr>
      <vt:lpstr>Soybean Budget</vt:lpstr>
      <vt:lpstr>Monthly Budget Builder</vt:lpstr>
      <vt:lpstr>Quarterly Cash Flow - Example</vt:lpstr>
      <vt:lpstr>Ratio Calculator</vt:lpstr>
      <vt:lpstr>From Scratch</vt:lpstr>
      <vt:lpstr>From Scratch 2</vt:lpstr>
      <vt:lpstr>From Scratch 3</vt:lpstr>
      <vt:lpstr>From Scratch 4</vt:lpstr>
      <vt:lpstr>From Scratch 5</vt:lpstr>
      <vt:lpstr>From Scratch 6</vt:lpstr>
      <vt:lpstr>Herd Records</vt:lpstr>
      <vt:lpstr>Monthly Cash Flow - Blank</vt:lpstr>
      <vt:lpstr>Agritourism Budget</vt:lpstr>
      <vt:lpstr>Cow-Calf Budget</vt:lpstr>
      <vt:lpstr>Cash to Accrual</vt:lpstr>
      <vt:lpstr>'Cow-Calf Budget'!Print_Area</vt:lpstr>
      <vt:lpstr>'Monthly Budget Builder'!Print_Area</vt:lpstr>
      <vt:lpstr>'Monthly Cash Flow - Blank'!Print_Area</vt:lpstr>
      <vt:lpstr>'Quarterly Cash Flow - Example'!Print_Area</vt:lpstr>
      <vt:lpstr>'Soybean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Alex</dc:creator>
  <cp:lastModifiedBy>White, Alex</cp:lastModifiedBy>
  <dcterms:created xsi:type="dcterms:W3CDTF">2021-08-16T20:08:26Z</dcterms:created>
  <dcterms:modified xsi:type="dcterms:W3CDTF">2021-09-22T21:23:05Z</dcterms:modified>
</cp:coreProperties>
</file>