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5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6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7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8.xml" ContentType="application/vnd.openxmlformats-officedocument.drawing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drawings/drawing9.xml" ContentType="application/vnd.openxmlformats-officedocument.drawing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10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drawings/drawing11.xml" ContentType="application/vnd.openxmlformats-officedocument.drawing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drawings/drawing12.xml" ContentType="application/vnd.openxmlformats-officedocument.drawing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drawings/drawing13.xml" ContentType="application/vnd.openxmlformats-officedocument.drawing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nowledge Center\Country Living Webinars\Distressed Loans\"/>
    </mc:Choice>
  </mc:AlternateContent>
  <bookViews>
    <workbookView xWindow="0" yWindow="0" windowWidth="28800" windowHeight="14235" firstSheet="21" activeTab="25"/>
  </bookViews>
  <sheets>
    <sheet name="Yearly Budget Summary" sheetId="3" r:id="rId1"/>
    <sheet name="Yearly Budget Details" sheetId="4" r:id="rId2"/>
    <sheet name="January Budget Summary" sheetId="1" r:id="rId3"/>
    <sheet name="January Budget Details" sheetId="2" r:id="rId4"/>
    <sheet name="February Budget Summary" sheetId="5" r:id="rId5"/>
    <sheet name="February Budget Details" sheetId="6" r:id="rId6"/>
    <sheet name="March Budget Summary" sheetId="7" r:id="rId7"/>
    <sheet name="March Budget Details" sheetId="8" r:id="rId8"/>
    <sheet name="April Budget Summary" sheetId="9" r:id="rId9"/>
    <sheet name="April Budget Details" sheetId="10" r:id="rId10"/>
    <sheet name="May Budget Summary" sheetId="11" r:id="rId11"/>
    <sheet name="May Budget Details" sheetId="12" r:id="rId12"/>
    <sheet name="June Budget Summary" sheetId="13" r:id="rId13"/>
    <sheet name="June Budget Details" sheetId="14" r:id="rId14"/>
    <sheet name="July Budget Summary" sheetId="17" r:id="rId15"/>
    <sheet name="July Budget Details" sheetId="18" r:id="rId16"/>
    <sheet name="August Budget Summary" sheetId="19" r:id="rId17"/>
    <sheet name="August Budget Details" sheetId="20" r:id="rId18"/>
    <sheet name="September Budget Summary" sheetId="21" r:id="rId19"/>
    <sheet name="September Budget Details" sheetId="22" r:id="rId20"/>
    <sheet name="October Budget Summary" sheetId="23" r:id="rId21"/>
    <sheet name="October Budget Details" sheetId="24" r:id="rId22"/>
    <sheet name="November Budget Summary" sheetId="25" r:id="rId23"/>
    <sheet name="November Budget Details" sheetId="26" r:id="rId24"/>
    <sheet name="December Budget Summary" sheetId="27" r:id="rId25"/>
    <sheet name="December Budget Details" sheetId="28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21" i="4"/>
  <c r="D22" i="4"/>
  <c r="D23" i="4"/>
  <c r="D24" i="4"/>
  <c r="D49" i="4" s="1"/>
  <c r="D25" i="4"/>
  <c r="D26" i="4"/>
  <c r="D27" i="4"/>
  <c r="D28" i="4"/>
  <c r="F28" i="4" s="1"/>
  <c r="D29" i="4"/>
  <c r="D30" i="4"/>
  <c r="D31" i="4"/>
  <c r="D32" i="4"/>
  <c r="F32" i="4" s="1"/>
  <c r="D33" i="4"/>
  <c r="D34" i="4"/>
  <c r="D35" i="4"/>
  <c r="D36" i="4"/>
  <c r="F36" i="4" s="1"/>
  <c r="D37" i="4"/>
  <c r="D38" i="4"/>
  <c r="D39" i="4"/>
  <c r="D40" i="4"/>
  <c r="F40" i="4" s="1"/>
  <c r="D41" i="4"/>
  <c r="D42" i="4"/>
  <c r="D43" i="4"/>
  <c r="D44" i="4"/>
  <c r="F44" i="4" s="1"/>
  <c r="D45" i="4"/>
  <c r="D46" i="4"/>
  <c r="D47" i="4"/>
  <c r="D48" i="4"/>
  <c r="C22" i="4"/>
  <c r="C23" i="4"/>
  <c r="C24" i="4"/>
  <c r="C25" i="4"/>
  <c r="C49" i="4" s="1"/>
  <c r="C26" i="4"/>
  <c r="C27" i="4"/>
  <c r="C28" i="4"/>
  <c r="C29" i="4"/>
  <c r="F29" i="4" s="1"/>
  <c r="C30" i="4"/>
  <c r="C31" i="4"/>
  <c r="C32" i="4"/>
  <c r="C33" i="4"/>
  <c r="F33" i="4" s="1"/>
  <c r="C34" i="4"/>
  <c r="C35" i="4"/>
  <c r="C36" i="4"/>
  <c r="C37" i="4"/>
  <c r="F37" i="4" s="1"/>
  <c r="C38" i="4"/>
  <c r="C39" i="4"/>
  <c r="C40" i="4"/>
  <c r="C41" i="4"/>
  <c r="C42" i="4"/>
  <c r="C43" i="4"/>
  <c r="C44" i="4"/>
  <c r="C45" i="4"/>
  <c r="F45" i="4" s="1"/>
  <c r="C46" i="4"/>
  <c r="C47" i="4"/>
  <c r="C48" i="4"/>
  <c r="C21" i="4"/>
  <c r="D15" i="4"/>
  <c r="D16" i="4"/>
  <c r="D17" i="4"/>
  <c r="D14" i="4"/>
  <c r="C15" i="4"/>
  <c r="C16" i="4"/>
  <c r="C17" i="4"/>
  <c r="C18" i="4" s="1"/>
  <c r="C14" i="4"/>
  <c r="D6" i="4"/>
  <c r="D7" i="4"/>
  <c r="D8" i="4"/>
  <c r="D9" i="4"/>
  <c r="E9" i="4" s="1"/>
  <c r="D10" i="4"/>
  <c r="C6" i="4"/>
  <c r="C7" i="4"/>
  <c r="C8" i="4"/>
  <c r="C9" i="4"/>
  <c r="C11" i="4" s="1"/>
  <c r="C5" i="3" s="1"/>
  <c r="C10" i="4"/>
  <c r="B33" i="27"/>
  <c r="B34" i="27"/>
  <c r="B35" i="27"/>
  <c r="B36" i="27"/>
  <c r="B37" i="27"/>
  <c r="C37" i="27"/>
  <c r="C36" i="27"/>
  <c r="C35" i="27"/>
  <c r="E35" i="27" s="1"/>
  <c r="C34" i="27"/>
  <c r="C33" i="27"/>
  <c r="E36" i="27"/>
  <c r="D6" i="27"/>
  <c r="D5" i="27"/>
  <c r="C6" i="27"/>
  <c r="C5" i="27"/>
  <c r="D49" i="28"/>
  <c r="C49" i="28"/>
  <c r="F48" i="28"/>
  <c r="E48" i="28"/>
  <c r="F47" i="28"/>
  <c r="E47" i="28"/>
  <c r="F46" i="28"/>
  <c r="E46" i="28"/>
  <c r="F45" i="28"/>
  <c r="E45" i="28"/>
  <c r="F44" i="28"/>
  <c r="E44" i="28"/>
  <c r="F43" i="28"/>
  <c r="E43" i="28"/>
  <c r="F42" i="28"/>
  <c r="E42" i="28"/>
  <c r="F41" i="28"/>
  <c r="E41" i="28"/>
  <c r="F40" i="28"/>
  <c r="E40" i="28"/>
  <c r="F39" i="28"/>
  <c r="E39" i="28"/>
  <c r="F38" i="28"/>
  <c r="E38" i="28"/>
  <c r="F37" i="28"/>
  <c r="E37" i="28"/>
  <c r="F36" i="28"/>
  <c r="E36" i="28"/>
  <c r="F35" i="28"/>
  <c r="E35" i="28"/>
  <c r="F34" i="28"/>
  <c r="E34" i="28"/>
  <c r="F33" i="28"/>
  <c r="E33" i="28"/>
  <c r="F32" i="28"/>
  <c r="E32" i="28"/>
  <c r="F31" i="28"/>
  <c r="E31" i="28"/>
  <c r="F30" i="28"/>
  <c r="E30" i="28"/>
  <c r="F29" i="28"/>
  <c r="E29" i="28"/>
  <c r="F28" i="28"/>
  <c r="E28" i="28"/>
  <c r="F27" i="28"/>
  <c r="E27" i="28"/>
  <c r="F26" i="28"/>
  <c r="E26" i="28"/>
  <c r="F25" i="28"/>
  <c r="E25" i="28"/>
  <c r="F24" i="28"/>
  <c r="E24" i="28"/>
  <c r="F23" i="28"/>
  <c r="E23" i="28"/>
  <c r="F22" i="28"/>
  <c r="E22" i="28"/>
  <c r="F21" i="28"/>
  <c r="F49" i="28" s="1"/>
  <c r="E21" i="28"/>
  <c r="F18" i="28"/>
  <c r="D18" i="28"/>
  <c r="C18" i="28"/>
  <c r="F17" i="28"/>
  <c r="E17" i="28"/>
  <c r="F16" i="28"/>
  <c r="E16" i="28"/>
  <c r="F15" i="28"/>
  <c r="E15" i="28"/>
  <c r="F14" i="28"/>
  <c r="E14" i="28"/>
  <c r="D11" i="28"/>
  <c r="C11" i="28"/>
  <c r="F10" i="28"/>
  <c r="E10" i="28"/>
  <c r="F9" i="28"/>
  <c r="E9" i="28"/>
  <c r="F8" i="28"/>
  <c r="E8" i="28"/>
  <c r="F7" i="28"/>
  <c r="F11" i="28" s="1"/>
  <c r="E7" i="28"/>
  <c r="F6" i="28"/>
  <c r="E6" i="28"/>
  <c r="B2" i="28"/>
  <c r="E37" i="27"/>
  <c r="E34" i="27"/>
  <c r="E33" i="27"/>
  <c r="B2" i="27"/>
  <c r="B33" i="25"/>
  <c r="B34" i="25"/>
  <c r="B35" i="25"/>
  <c r="B36" i="25"/>
  <c r="B37" i="25"/>
  <c r="C37" i="25"/>
  <c r="C36" i="25"/>
  <c r="E36" i="25" s="1"/>
  <c r="C35" i="25"/>
  <c r="C34" i="25"/>
  <c r="E34" i="25" s="1"/>
  <c r="C33" i="25"/>
  <c r="D6" i="25"/>
  <c r="D7" i="25" s="1"/>
  <c r="D5" i="25"/>
  <c r="C6" i="25"/>
  <c r="C5" i="25"/>
  <c r="D49" i="26"/>
  <c r="C49" i="26"/>
  <c r="F48" i="26"/>
  <c r="E48" i="26"/>
  <c r="F47" i="26"/>
  <c r="E47" i="26"/>
  <c r="F46" i="26"/>
  <c r="E46" i="26"/>
  <c r="F45" i="26"/>
  <c r="E45" i="26"/>
  <c r="F44" i="26"/>
  <c r="E44" i="26"/>
  <c r="F43" i="26"/>
  <c r="E43" i="26"/>
  <c r="F42" i="26"/>
  <c r="E42" i="26"/>
  <c r="F41" i="26"/>
  <c r="E41" i="26"/>
  <c r="F40" i="26"/>
  <c r="E40" i="26"/>
  <c r="F39" i="26"/>
  <c r="E39" i="26"/>
  <c r="F38" i="26"/>
  <c r="E38" i="26"/>
  <c r="F37" i="26"/>
  <c r="E37" i="26"/>
  <c r="F36" i="26"/>
  <c r="E36" i="26"/>
  <c r="F35" i="26"/>
  <c r="E35" i="26"/>
  <c r="F34" i="26"/>
  <c r="E34" i="26"/>
  <c r="F33" i="26"/>
  <c r="E33" i="26"/>
  <c r="F32" i="26"/>
  <c r="E32" i="26"/>
  <c r="F31" i="26"/>
  <c r="E31" i="26"/>
  <c r="F30" i="26"/>
  <c r="E30" i="26"/>
  <c r="F29" i="26"/>
  <c r="E29" i="26"/>
  <c r="F28" i="26"/>
  <c r="E28" i="26"/>
  <c r="F27" i="26"/>
  <c r="E27" i="26"/>
  <c r="F26" i="26"/>
  <c r="E26" i="26"/>
  <c r="F25" i="26"/>
  <c r="E25" i="26"/>
  <c r="F24" i="26"/>
  <c r="E24" i="26"/>
  <c r="F23" i="26"/>
  <c r="E23" i="26"/>
  <c r="F22" i="26"/>
  <c r="E22" i="26"/>
  <c r="F21" i="26"/>
  <c r="F49" i="26" s="1"/>
  <c r="E21" i="26"/>
  <c r="F18" i="26"/>
  <c r="D18" i="26"/>
  <c r="C18" i="26"/>
  <c r="F17" i="26"/>
  <c r="E17" i="26"/>
  <c r="F16" i="26"/>
  <c r="E16" i="26"/>
  <c r="F15" i="26"/>
  <c r="E15" i="26"/>
  <c r="F14" i="26"/>
  <c r="E14" i="26"/>
  <c r="D11" i="26"/>
  <c r="C11" i="26"/>
  <c r="F10" i="26"/>
  <c r="E10" i="26"/>
  <c r="F9" i="26"/>
  <c r="E9" i="26"/>
  <c r="F8" i="26"/>
  <c r="E8" i="26"/>
  <c r="F7" i="26"/>
  <c r="F11" i="26" s="1"/>
  <c r="E7" i="26"/>
  <c r="F6" i="26"/>
  <c r="E6" i="26"/>
  <c r="B2" i="26"/>
  <c r="E37" i="25"/>
  <c r="E35" i="25"/>
  <c r="E33" i="25"/>
  <c r="D37" i="25"/>
  <c r="C7" i="25"/>
  <c r="B2" i="25"/>
  <c r="B33" i="23"/>
  <c r="B34" i="23"/>
  <c r="B35" i="23"/>
  <c r="B36" i="23"/>
  <c r="B37" i="23"/>
  <c r="C37" i="23"/>
  <c r="C38" i="23" s="1"/>
  <c r="C36" i="23"/>
  <c r="C35" i="23"/>
  <c r="E35" i="23" s="1"/>
  <c r="C34" i="23"/>
  <c r="C33" i="23"/>
  <c r="D5" i="23"/>
  <c r="D6" i="23"/>
  <c r="C6" i="23"/>
  <c r="C5" i="23"/>
  <c r="D49" i="24"/>
  <c r="C49" i="24"/>
  <c r="F48" i="24"/>
  <c r="E48" i="24"/>
  <c r="F47" i="24"/>
  <c r="E47" i="24"/>
  <c r="F46" i="24"/>
  <c r="E46" i="24"/>
  <c r="F45" i="24"/>
  <c r="E45" i="24"/>
  <c r="F44" i="24"/>
  <c r="E44" i="24"/>
  <c r="F43" i="24"/>
  <c r="E43" i="24"/>
  <c r="F42" i="24"/>
  <c r="E42" i="24"/>
  <c r="F41" i="24"/>
  <c r="E41" i="24"/>
  <c r="F40" i="24"/>
  <c r="E40" i="24"/>
  <c r="F39" i="24"/>
  <c r="E39" i="24"/>
  <c r="F38" i="24"/>
  <c r="E38" i="24"/>
  <c r="F37" i="24"/>
  <c r="E37" i="24"/>
  <c r="F36" i="24"/>
  <c r="E36" i="24"/>
  <c r="F35" i="24"/>
  <c r="E35" i="24"/>
  <c r="F34" i="24"/>
  <c r="E34" i="24"/>
  <c r="F33" i="24"/>
  <c r="E33" i="24"/>
  <c r="F32" i="24"/>
  <c r="E32" i="24"/>
  <c r="F31" i="24"/>
  <c r="E31" i="24"/>
  <c r="F30" i="24"/>
  <c r="E30" i="24"/>
  <c r="F29" i="24"/>
  <c r="E29" i="24"/>
  <c r="F28" i="24"/>
  <c r="E28" i="24"/>
  <c r="F27" i="24"/>
  <c r="E27" i="24"/>
  <c r="F26" i="24"/>
  <c r="E26" i="24"/>
  <c r="F25" i="24"/>
  <c r="E25" i="24"/>
  <c r="F24" i="24"/>
  <c r="E24" i="24"/>
  <c r="F23" i="24"/>
  <c r="E23" i="24"/>
  <c r="F22" i="24"/>
  <c r="E22" i="24"/>
  <c r="F21" i="24"/>
  <c r="F49" i="24" s="1"/>
  <c r="E21" i="24"/>
  <c r="D18" i="24"/>
  <c r="C18" i="24"/>
  <c r="F17" i="24"/>
  <c r="E17" i="24"/>
  <c r="F16" i="24"/>
  <c r="E16" i="24"/>
  <c r="F15" i="24"/>
  <c r="E15" i="24"/>
  <c r="F14" i="24"/>
  <c r="F18" i="24" s="1"/>
  <c r="E14" i="24"/>
  <c r="F11" i="24"/>
  <c r="D11" i="24"/>
  <c r="C11" i="24"/>
  <c r="F10" i="24"/>
  <c r="E10" i="24"/>
  <c r="F9" i="24"/>
  <c r="E9" i="24"/>
  <c r="F8" i="24"/>
  <c r="E8" i="24"/>
  <c r="F7" i="24"/>
  <c r="E7" i="24"/>
  <c r="F6" i="24"/>
  <c r="E6" i="24"/>
  <c r="B2" i="24"/>
  <c r="E37" i="23"/>
  <c r="E34" i="23"/>
  <c r="E33" i="23"/>
  <c r="E6" i="23"/>
  <c r="B2" i="23"/>
  <c r="B33" i="21"/>
  <c r="B34" i="21"/>
  <c r="B35" i="21"/>
  <c r="B36" i="21"/>
  <c r="B37" i="21"/>
  <c r="C37" i="21"/>
  <c r="C38" i="21" s="1"/>
  <c r="C36" i="21"/>
  <c r="C35" i="21"/>
  <c r="E35" i="21" s="1"/>
  <c r="C34" i="21"/>
  <c r="C33" i="21"/>
  <c r="D6" i="21"/>
  <c r="D7" i="21" s="1"/>
  <c r="D5" i="21"/>
  <c r="C6" i="21"/>
  <c r="C5" i="21"/>
  <c r="D49" i="22"/>
  <c r="C49" i="22"/>
  <c r="F48" i="22"/>
  <c r="E48" i="22"/>
  <c r="F47" i="22"/>
  <c r="E47" i="22"/>
  <c r="F46" i="22"/>
  <c r="E46" i="22"/>
  <c r="F45" i="22"/>
  <c r="E45" i="22"/>
  <c r="F44" i="22"/>
  <c r="E44" i="22"/>
  <c r="F43" i="22"/>
  <c r="E43" i="22"/>
  <c r="F42" i="22"/>
  <c r="E42" i="22"/>
  <c r="F41" i="22"/>
  <c r="E41" i="22"/>
  <c r="F40" i="22"/>
  <c r="E40" i="22"/>
  <c r="F39" i="22"/>
  <c r="E39" i="22"/>
  <c r="F38" i="22"/>
  <c r="E38" i="22"/>
  <c r="F37" i="22"/>
  <c r="E37" i="22"/>
  <c r="F36" i="22"/>
  <c r="E36" i="22"/>
  <c r="F35" i="22"/>
  <c r="E35" i="22"/>
  <c r="F34" i="22"/>
  <c r="E34" i="22"/>
  <c r="F33" i="22"/>
  <c r="E33" i="22"/>
  <c r="F32" i="22"/>
  <c r="E32" i="22"/>
  <c r="F31" i="22"/>
  <c r="E31" i="22"/>
  <c r="F30" i="22"/>
  <c r="E30" i="22"/>
  <c r="F29" i="22"/>
  <c r="E29" i="22"/>
  <c r="F28" i="22"/>
  <c r="E28" i="22"/>
  <c r="F27" i="22"/>
  <c r="E27" i="22"/>
  <c r="F26" i="22"/>
  <c r="E26" i="22"/>
  <c r="F25" i="22"/>
  <c r="E25" i="22"/>
  <c r="F24" i="22"/>
  <c r="E24" i="22"/>
  <c r="F23" i="22"/>
  <c r="E23" i="22"/>
  <c r="F22" i="22"/>
  <c r="E22" i="22"/>
  <c r="F21" i="22"/>
  <c r="F49" i="22" s="1"/>
  <c r="E21" i="22"/>
  <c r="F18" i="22"/>
  <c r="D18" i="22"/>
  <c r="C18" i="22"/>
  <c r="F17" i="22"/>
  <c r="E17" i="22"/>
  <c r="F16" i="22"/>
  <c r="E16" i="22"/>
  <c r="F15" i="22"/>
  <c r="E15" i="22"/>
  <c r="F14" i="22"/>
  <c r="E14" i="22"/>
  <c r="D11" i="22"/>
  <c r="C11" i="22"/>
  <c r="F10" i="22"/>
  <c r="E10" i="22"/>
  <c r="F9" i="22"/>
  <c r="E9" i="22"/>
  <c r="F8" i="22"/>
  <c r="E8" i="22"/>
  <c r="F7" i="22"/>
  <c r="F11" i="22" s="1"/>
  <c r="E7" i="22"/>
  <c r="F6" i="22"/>
  <c r="E6" i="22"/>
  <c r="B2" i="22"/>
  <c r="E37" i="21"/>
  <c r="E34" i="21"/>
  <c r="E33" i="21"/>
  <c r="C7" i="21"/>
  <c r="B2" i="21"/>
  <c r="B33" i="19"/>
  <c r="B34" i="19"/>
  <c r="B35" i="19"/>
  <c r="B36" i="19"/>
  <c r="B37" i="19"/>
  <c r="C37" i="19"/>
  <c r="C36" i="19"/>
  <c r="E36" i="19" s="1"/>
  <c r="C35" i="19"/>
  <c r="E35" i="19" s="1"/>
  <c r="C34" i="19"/>
  <c r="E34" i="19" s="1"/>
  <c r="C33" i="19"/>
  <c r="D6" i="19"/>
  <c r="D7" i="19" s="1"/>
  <c r="D5" i="19"/>
  <c r="C6" i="19"/>
  <c r="C5" i="19"/>
  <c r="D49" i="20"/>
  <c r="C49" i="20"/>
  <c r="F48" i="20"/>
  <c r="E48" i="20"/>
  <c r="F47" i="20"/>
  <c r="E47" i="20"/>
  <c r="F46" i="20"/>
  <c r="E46" i="20"/>
  <c r="F45" i="20"/>
  <c r="E45" i="20"/>
  <c r="F44" i="20"/>
  <c r="E44" i="20"/>
  <c r="F43" i="20"/>
  <c r="E43" i="20"/>
  <c r="F42" i="20"/>
  <c r="E42" i="20"/>
  <c r="F41" i="20"/>
  <c r="E41" i="20"/>
  <c r="F40" i="20"/>
  <c r="E40" i="20"/>
  <c r="F39" i="20"/>
  <c r="E39" i="20"/>
  <c r="F38" i="20"/>
  <c r="E38" i="20"/>
  <c r="F37" i="20"/>
  <c r="E37" i="20"/>
  <c r="F36" i="20"/>
  <c r="E36" i="20"/>
  <c r="F35" i="20"/>
  <c r="E35" i="20"/>
  <c r="F34" i="20"/>
  <c r="E34" i="20"/>
  <c r="F33" i="20"/>
  <c r="E33" i="20"/>
  <c r="F32" i="20"/>
  <c r="E32" i="20"/>
  <c r="F31" i="20"/>
  <c r="E31" i="20"/>
  <c r="F30" i="20"/>
  <c r="E30" i="20"/>
  <c r="F29" i="20"/>
  <c r="E29" i="20"/>
  <c r="F28" i="20"/>
  <c r="E28" i="20"/>
  <c r="F27" i="20"/>
  <c r="E27" i="20"/>
  <c r="F26" i="20"/>
  <c r="E26" i="20"/>
  <c r="F25" i="20"/>
  <c r="E25" i="20"/>
  <c r="F24" i="20"/>
  <c r="E24" i="20"/>
  <c r="F23" i="20"/>
  <c r="E23" i="20"/>
  <c r="F22" i="20"/>
  <c r="E22" i="20"/>
  <c r="F21" i="20"/>
  <c r="F49" i="20" s="1"/>
  <c r="E21" i="20"/>
  <c r="F18" i="20"/>
  <c r="D18" i="20"/>
  <c r="C18" i="20"/>
  <c r="F17" i="20"/>
  <c r="E17" i="20"/>
  <c r="F16" i="20"/>
  <c r="E16" i="20"/>
  <c r="F15" i="20"/>
  <c r="E15" i="20"/>
  <c r="F14" i="20"/>
  <c r="E14" i="20"/>
  <c r="D11" i="20"/>
  <c r="C11" i="20"/>
  <c r="F10" i="20"/>
  <c r="E10" i="20"/>
  <c r="F9" i="20"/>
  <c r="E9" i="20"/>
  <c r="F8" i="20"/>
  <c r="E8" i="20"/>
  <c r="F7" i="20"/>
  <c r="F11" i="20" s="1"/>
  <c r="E7" i="20"/>
  <c r="F6" i="20"/>
  <c r="E6" i="20"/>
  <c r="B2" i="20"/>
  <c r="E37" i="19"/>
  <c r="C38" i="19"/>
  <c r="D37" i="19"/>
  <c r="E6" i="19"/>
  <c r="C7" i="19"/>
  <c r="B2" i="19"/>
  <c r="B33" i="17"/>
  <c r="B34" i="17"/>
  <c r="B35" i="17"/>
  <c r="B36" i="17"/>
  <c r="B37" i="17"/>
  <c r="C37" i="17"/>
  <c r="C36" i="17"/>
  <c r="C35" i="17"/>
  <c r="D35" i="17" s="1"/>
  <c r="C34" i="17"/>
  <c r="C33" i="17"/>
  <c r="D36" i="17"/>
  <c r="D6" i="17"/>
  <c r="D5" i="17"/>
  <c r="C6" i="17"/>
  <c r="C5" i="17"/>
  <c r="D49" i="18"/>
  <c r="C49" i="18"/>
  <c r="F48" i="18"/>
  <c r="E48" i="18"/>
  <c r="F47" i="18"/>
  <c r="E47" i="18"/>
  <c r="F46" i="18"/>
  <c r="E46" i="18"/>
  <c r="F45" i="18"/>
  <c r="E45" i="18"/>
  <c r="F44" i="18"/>
  <c r="E44" i="18"/>
  <c r="F43" i="18"/>
  <c r="E43" i="18"/>
  <c r="F42" i="18"/>
  <c r="E42" i="18"/>
  <c r="F41" i="18"/>
  <c r="E41" i="18"/>
  <c r="F40" i="18"/>
  <c r="E40" i="18"/>
  <c r="F39" i="18"/>
  <c r="E39" i="18"/>
  <c r="F38" i="18"/>
  <c r="E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F49" i="18" s="1"/>
  <c r="E21" i="18"/>
  <c r="F18" i="18"/>
  <c r="D18" i="18"/>
  <c r="C18" i="18"/>
  <c r="F17" i="18"/>
  <c r="E17" i="18"/>
  <c r="F16" i="18"/>
  <c r="E16" i="18"/>
  <c r="F15" i="18"/>
  <c r="E15" i="18"/>
  <c r="F14" i="18"/>
  <c r="E14" i="18"/>
  <c r="D11" i="18"/>
  <c r="C11" i="18"/>
  <c r="F10" i="18"/>
  <c r="E10" i="18"/>
  <c r="F9" i="18"/>
  <c r="E9" i="18"/>
  <c r="F8" i="18"/>
  <c r="E8" i="18"/>
  <c r="F7" i="18"/>
  <c r="F11" i="18" s="1"/>
  <c r="E7" i="18"/>
  <c r="F6" i="18"/>
  <c r="E6" i="18"/>
  <c r="B2" i="18"/>
  <c r="D37" i="17"/>
  <c r="D34" i="17"/>
  <c r="D7" i="17"/>
  <c r="C7" i="17"/>
  <c r="B2" i="17"/>
  <c r="B33" i="9"/>
  <c r="B34" i="9"/>
  <c r="B35" i="9"/>
  <c r="B36" i="9"/>
  <c r="B37" i="9"/>
  <c r="B33" i="11"/>
  <c r="B34" i="11"/>
  <c r="B35" i="11"/>
  <c r="B36" i="11"/>
  <c r="B37" i="11"/>
  <c r="B33" i="13"/>
  <c r="B34" i="13"/>
  <c r="B35" i="13"/>
  <c r="B36" i="13"/>
  <c r="B37" i="13"/>
  <c r="C37" i="13"/>
  <c r="C38" i="13" s="1"/>
  <c r="C36" i="13"/>
  <c r="C35" i="13"/>
  <c r="E35" i="13" s="1"/>
  <c r="C34" i="13"/>
  <c r="C33" i="13"/>
  <c r="D6" i="13"/>
  <c r="D5" i="13"/>
  <c r="C6" i="13"/>
  <c r="C5" i="13"/>
  <c r="D49" i="14"/>
  <c r="C49" i="14"/>
  <c r="F48" i="14"/>
  <c r="E48" i="14"/>
  <c r="F47" i="14"/>
  <c r="E47" i="14"/>
  <c r="F46" i="14"/>
  <c r="E46" i="14"/>
  <c r="F45" i="14"/>
  <c r="E45" i="14"/>
  <c r="F44" i="14"/>
  <c r="E44" i="14"/>
  <c r="F43" i="14"/>
  <c r="E43" i="14"/>
  <c r="F42" i="14"/>
  <c r="E42" i="14"/>
  <c r="F41" i="14"/>
  <c r="E41" i="14"/>
  <c r="F40" i="14"/>
  <c r="E40" i="14"/>
  <c r="F39" i="14"/>
  <c r="E39" i="14"/>
  <c r="F38" i="14"/>
  <c r="E38" i="14"/>
  <c r="F37" i="14"/>
  <c r="E37" i="14"/>
  <c r="F36" i="14"/>
  <c r="E36" i="14"/>
  <c r="F35" i="14"/>
  <c r="E35" i="14"/>
  <c r="F34" i="14"/>
  <c r="E34" i="14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F49" i="14" s="1"/>
  <c r="E21" i="14"/>
  <c r="F18" i="14"/>
  <c r="D18" i="14"/>
  <c r="C18" i="14"/>
  <c r="F17" i="14"/>
  <c r="E17" i="14"/>
  <c r="F16" i="14"/>
  <c r="E16" i="14"/>
  <c r="F15" i="14"/>
  <c r="E15" i="14"/>
  <c r="F14" i="14"/>
  <c r="E14" i="14"/>
  <c r="D11" i="14"/>
  <c r="C11" i="14"/>
  <c r="F10" i="14"/>
  <c r="E10" i="14"/>
  <c r="F9" i="14"/>
  <c r="E9" i="14"/>
  <c r="F8" i="14"/>
  <c r="E8" i="14"/>
  <c r="F7" i="14"/>
  <c r="F11" i="14" s="1"/>
  <c r="E7" i="14"/>
  <c r="F6" i="14"/>
  <c r="E6" i="14"/>
  <c r="B2" i="14"/>
  <c r="E34" i="13"/>
  <c r="E33" i="13"/>
  <c r="D7" i="13"/>
  <c r="B2" i="13"/>
  <c r="C37" i="11"/>
  <c r="C38" i="11" s="1"/>
  <c r="C36" i="11"/>
  <c r="C35" i="11"/>
  <c r="C34" i="11"/>
  <c r="C33" i="11"/>
  <c r="D6" i="11"/>
  <c r="D5" i="11"/>
  <c r="E5" i="11" s="1"/>
  <c r="C6" i="11"/>
  <c r="C5" i="11"/>
  <c r="D49" i="12"/>
  <c r="C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F49" i="12" s="1"/>
  <c r="E21" i="12"/>
  <c r="D18" i="12"/>
  <c r="C18" i="12"/>
  <c r="F17" i="12"/>
  <c r="E17" i="12"/>
  <c r="F16" i="12"/>
  <c r="E16" i="12"/>
  <c r="F15" i="12"/>
  <c r="E15" i="12"/>
  <c r="F14" i="12"/>
  <c r="F18" i="12" s="1"/>
  <c r="E14" i="12"/>
  <c r="F11" i="12"/>
  <c r="D11" i="12"/>
  <c r="C11" i="12"/>
  <c r="F10" i="12"/>
  <c r="E10" i="12"/>
  <c r="F9" i="12"/>
  <c r="E9" i="12"/>
  <c r="F8" i="12"/>
  <c r="E8" i="12"/>
  <c r="F7" i="12"/>
  <c r="E7" i="12"/>
  <c r="F6" i="12"/>
  <c r="E6" i="12"/>
  <c r="B2" i="12"/>
  <c r="B2" i="11"/>
  <c r="C37" i="9"/>
  <c r="C36" i="9"/>
  <c r="C35" i="9"/>
  <c r="C34" i="9"/>
  <c r="C33" i="9"/>
  <c r="D6" i="9"/>
  <c r="D5" i="9"/>
  <c r="C6" i="9"/>
  <c r="C7" i="9" s="1"/>
  <c r="C5" i="9"/>
  <c r="E5" i="9" s="1"/>
  <c r="D49" i="10"/>
  <c r="C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F49" i="10" s="1"/>
  <c r="E21" i="10"/>
  <c r="F18" i="10"/>
  <c r="D18" i="10"/>
  <c r="C18" i="10"/>
  <c r="F17" i="10"/>
  <c r="E17" i="10"/>
  <c r="F16" i="10"/>
  <c r="E16" i="10"/>
  <c r="F15" i="10"/>
  <c r="E15" i="10"/>
  <c r="F14" i="10"/>
  <c r="E14" i="10"/>
  <c r="D11" i="10"/>
  <c r="C11" i="10"/>
  <c r="F10" i="10"/>
  <c r="E10" i="10"/>
  <c r="F9" i="10"/>
  <c r="E9" i="10"/>
  <c r="F8" i="10"/>
  <c r="E8" i="10"/>
  <c r="F7" i="10"/>
  <c r="F11" i="10" s="1"/>
  <c r="E7" i="10"/>
  <c r="F6" i="10"/>
  <c r="E6" i="10"/>
  <c r="B2" i="10"/>
  <c r="E6" i="9"/>
  <c r="D7" i="9"/>
  <c r="B2" i="9"/>
  <c r="B2" i="8"/>
  <c r="B2" i="7"/>
  <c r="B2" i="6"/>
  <c r="B2" i="5"/>
  <c r="B2" i="2"/>
  <c r="B2" i="1"/>
  <c r="B2" i="4"/>
  <c r="D5" i="7"/>
  <c r="C5" i="7"/>
  <c r="D49" i="8"/>
  <c r="C49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D18" i="8"/>
  <c r="C18" i="8"/>
  <c r="F17" i="8"/>
  <c r="E17" i="8"/>
  <c r="F16" i="8"/>
  <c r="E16" i="8"/>
  <c r="F15" i="8"/>
  <c r="E15" i="8"/>
  <c r="F14" i="8"/>
  <c r="F18" i="8" s="1"/>
  <c r="E14" i="8"/>
  <c r="D11" i="8"/>
  <c r="C11" i="8"/>
  <c r="F10" i="8"/>
  <c r="E10" i="8"/>
  <c r="F9" i="8"/>
  <c r="E9" i="8"/>
  <c r="F8" i="8"/>
  <c r="E8" i="8"/>
  <c r="F7" i="8"/>
  <c r="F11" i="8" s="1"/>
  <c r="E7" i="8"/>
  <c r="F6" i="8"/>
  <c r="E6" i="8"/>
  <c r="E5" i="7"/>
  <c r="D49" i="6"/>
  <c r="D6" i="5" s="1"/>
  <c r="C49" i="6"/>
  <c r="C6" i="5" s="1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F49" i="6" s="1"/>
  <c r="E21" i="6"/>
  <c r="F18" i="6"/>
  <c r="D18" i="6"/>
  <c r="C18" i="6"/>
  <c r="F17" i="6"/>
  <c r="E17" i="6"/>
  <c r="F16" i="6"/>
  <c r="E16" i="6"/>
  <c r="F15" i="6"/>
  <c r="E15" i="6"/>
  <c r="F14" i="6"/>
  <c r="E14" i="6"/>
  <c r="D11" i="6"/>
  <c r="D5" i="5" s="1"/>
  <c r="C11" i="6"/>
  <c r="C5" i="5" s="1"/>
  <c r="F10" i="6"/>
  <c r="E10" i="6"/>
  <c r="F9" i="6"/>
  <c r="E9" i="6"/>
  <c r="F8" i="6"/>
  <c r="E8" i="6"/>
  <c r="F7" i="6"/>
  <c r="E7" i="6"/>
  <c r="F6" i="6"/>
  <c r="E6" i="6"/>
  <c r="C33" i="1"/>
  <c r="C38" i="1" s="1"/>
  <c r="E6" i="1"/>
  <c r="D6" i="1"/>
  <c r="D36" i="1" s="1"/>
  <c r="C6" i="1"/>
  <c r="F23" i="4"/>
  <c r="F27" i="4"/>
  <c r="E28" i="4"/>
  <c r="E35" i="4"/>
  <c r="F39" i="4"/>
  <c r="F43" i="4"/>
  <c r="F48" i="4"/>
  <c r="F21" i="4"/>
  <c r="F25" i="4"/>
  <c r="F41" i="4"/>
  <c r="D18" i="4"/>
  <c r="F16" i="4"/>
  <c r="F10" i="4"/>
  <c r="F8" i="4"/>
  <c r="F47" i="4"/>
  <c r="E47" i="4"/>
  <c r="F46" i="4"/>
  <c r="E46" i="4"/>
  <c r="E45" i="4"/>
  <c r="E43" i="4"/>
  <c r="F42" i="4"/>
  <c r="E42" i="4"/>
  <c r="E41" i="4"/>
  <c r="F38" i="4"/>
  <c r="E38" i="4"/>
  <c r="E37" i="4"/>
  <c r="F35" i="4"/>
  <c r="F34" i="4"/>
  <c r="E34" i="4"/>
  <c r="E33" i="4"/>
  <c r="F31" i="4"/>
  <c r="E31" i="4"/>
  <c r="F30" i="4"/>
  <c r="E30" i="4"/>
  <c r="E29" i="4"/>
  <c r="E27" i="4"/>
  <c r="F26" i="4"/>
  <c r="E26" i="4"/>
  <c r="E25" i="4"/>
  <c r="E24" i="4"/>
  <c r="F22" i="4"/>
  <c r="E22" i="4"/>
  <c r="E21" i="4"/>
  <c r="E16" i="4"/>
  <c r="F15" i="4"/>
  <c r="E15" i="4"/>
  <c r="F14" i="4"/>
  <c r="E14" i="4"/>
  <c r="E8" i="4"/>
  <c r="F7" i="4"/>
  <c r="E7" i="4"/>
  <c r="E34" i="1"/>
  <c r="E35" i="1"/>
  <c r="E36" i="1"/>
  <c r="E37" i="1"/>
  <c r="E33" i="1"/>
  <c r="D34" i="1"/>
  <c r="D35" i="1"/>
  <c r="D37" i="1"/>
  <c r="C34" i="1"/>
  <c r="C35" i="1"/>
  <c r="B35" i="1" s="1"/>
  <c r="C36" i="1"/>
  <c r="C37" i="1"/>
  <c r="B37" i="1" s="1"/>
  <c r="B36" i="1"/>
  <c r="B34" i="1"/>
  <c r="E14" i="2"/>
  <c r="E15" i="2"/>
  <c r="E16" i="2"/>
  <c r="E17" i="2"/>
  <c r="E6" i="2"/>
  <c r="E7" i="2"/>
  <c r="E8" i="2"/>
  <c r="E9" i="2"/>
  <c r="E10" i="2"/>
  <c r="F6" i="2"/>
  <c r="F7" i="2"/>
  <c r="F8" i="2"/>
  <c r="F9" i="2"/>
  <c r="F10" i="2"/>
  <c r="E36" i="2"/>
  <c r="E44" i="2"/>
  <c r="E34" i="2"/>
  <c r="E31" i="2"/>
  <c r="E35" i="2"/>
  <c r="E40" i="2"/>
  <c r="E32" i="2"/>
  <c r="E30" i="2"/>
  <c r="E38" i="2"/>
  <c r="E27" i="2"/>
  <c r="E33" i="2"/>
  <c r="E41" i="2"/>
  <c r="E25" i="2"/>
  <c r="E42" i="2"/>
  <c r="E37" i="2"/>
  <c r="E26" i="2"/>
  <c r="E29" i="2"/>
  <c r="E43" i="2"/>
  <c r="E39" i="2"/>
  <c r="E22" i="2"/>
  <c r="E21" i="2"/>
  <c r="E23" i="2"/>
  <c r="E24" i="2"/>
  <c r="E28" i="2"/>
  <c r="E45" i="2"/>
  <c r="E46" i="2"/>
  <c r="E47" i="2"/>
  <c r="E48" i="2"/>
  <c r="F36" i="2"/>
  <c r="F44" i="2"/>
  <c r="F34" i="2"/>
  <c r="F31" i="2"/>
  <c r="F35" i="2"/>
  <c r="F40" i="2"/>
  <c r="F32" i="2"/>
  <c r="F30" i="2"/>
  <c r="F38" i="2"/>
  <c r="F27" i="2"/>
  <c r="F33" i="2"/>
  <c r="F41" i="2"/>
  <c r="F25" i="2"/>
  <c r="F42" i="2"/>
  <c r="F37" i="2"/>
  <c r="F26" i="2"/>
  <c r="F29" i="2"/>
  <c r="F43" i="2"/>
  <c r="F39" i="2"/>
  <c r="F22" i="2"/>
  <c r="F21" i="2"/>
  <c r="F23" i="2"/>
  <c r="F24" i="2"/>
  <c r="F28" i="2"/>
  <c r="F45" i="2"/>
  <c r="F46" i="2"/>
  <c r="F47" i="2"/>
  <c r="F48" i="2"/>
  <c r="F14" i="2"/>
  <c r="F15" i="2"/>
  <c r="F16" i="2"/>
  <c r="F17" i="2"/>
  <c r="D49" i="2"/>
  <c r="C49" i="2"/>
  <c r="D18" i="2"/>
  <c r="C18" i="2"/>
  <c r="D11" i="2"/>
  <c r="D5" i="1" s="1"/>
  <c r="C11" i="2"/>
  <c r="C5" i="1" s="1"/>
  <c r="E44" i="4" l="1"/>
  <c r="E40" i="4"/>
  <c r="D6" i="3"/>
  <c r="C6" i="3"/>
  <c r="D7" i="3"/>
  <c r="C7" i="3"/>
  <c r="F6" i="4"/>
  <c r="E5" i="3"/>
  <c r="C38" i="27"/>
  <c r="D37" i="27"/>
  <c r="E38" i="27"/>
  <c r="D7" i="27"/>
  <c r="C7" i="27"/>
  <c r="E7" i="27"/>
  <c r="E6" i="27"/>
  <c r="E5" i="27"/>
  <c r="D33" i="27"/>
  <c r="D34" i="27"/>
  <c r="D35" i="27"/>
  <c r="D36" i="27"/>
  <c r="C38" i="25"/>
  <c r="E38" i="25"/>
  <c r="E7" i="25"/>
  <c r="E6" i="25"/>
  <c r="E5" i="25"/>
  <c r="D33" i="25"/>
  <c r="D34" i="25"/>
  <c r="D35" i="25"/>
  <c r="D36" i="25"/>
  <c r="D37" i="23"/>
  <c r="E36" i="23"/>
  <c r="E38" i="23"/>
  <c r="D7" i="23"/>
  <c r="C7" i="23"/>
  <c r="E7" i="23"/>
  <c r="E5" i="23"/>
  <c r="D33" i="23"/>
  <c r="D34" i="23"/>
  <c r="D35" i="23"/>
  <c r="D36" i="23"/>
  <c r="D37" i="21"/>
  <c r="E36" i="21"/>
  <c r="E38" i="21" s="1"/>
  <c r="E7" i="21"/>
  <c r="E6" i="21"/>
  <c r="E5" i="21"/>
  <c r="D33" i="21"/>
  <c r="D34" i="21"/>
  <c r="D35" i="21"/>
  <c r="D36" i="21"/>
  <c r="E7" i="19"/>
  <c r="E33" i="19"/>
  <c r="E38" i="19" s="1"/>
  <c r="E5" i="19"/>
  <c r="D33" i="19"/>
  <c r="D34" i="19"/>
  <c r="D35" i="19"/>
  <c r="D36" i="19"/>
  <c r="C38" i="17"/>
  <c r="E5" i="17"/>
  <c r="E7" i="17"/>
  <c r="E33" i="17"/>
  <c r="E34" i="17"/>
  <c r="E35" i="17"/>
  <c r="E36" i="17"/>
  <c r="E37" i="17"/>
  <c r="D33" i="17"/>
  <c r="D38" i="17" s="1"/>
  <c r="E6" i="17"/>
  <c r="E37" i="13"/>
  <c r="D37" i="13"/>
  <c r="E38" i="13"/>
  <c r="E36" i="13"/>
  <c r="C7" i="13"/>
  <c r="E7" i="13"/>
  <c r="E6" i="13"/>
  <c r="E5" i="13"/>
  <c r="D33" i="13"/>
  <c r="D34" i="13"/>
  <c r="D35" i="13"/>
  <c r="D36" i="13"/>
  <c r="D37" i="11"/>
  <c r="E37" i="11"/>
  <c r="E36" i="11"/>
  <c r="D7" i="11"/>
  <c r="C7" i="11"/>
  <c r="E7" i="11"/>
  <c r="E33" i="11"/>
  <c r="E34" i="11"/>
  <c r="E35" i="11"/>
  <c r="E6" i="11"/>
  <c r="D33" i="11"/>
  <c r="D34" i="11"/>
  <c r="D35" i="11"/>
  <c r="D36" i="11"/>
  <c r="C38" i="9"/>
  <c r="E7" i="9"/>
  <c r="D33" i="9"/>
  <c r="D34" i="9"/>
  <c r="D35" i="9"/>
  <c r="D36" i="9"/>
  <c r="D37" i="9"/>
  <c r="E33" i="9"/>
  <c r="E34" i="9"/>
  <c r="E35" i="9"/>
  <c r="E36" i="9"/>
  <c r="E37" i="9"/>
  <c r="C36" i="7"/>
  <c r="B36" i="7" s="1"/>
  <c r="F49" i="8"/>
  <c r="C33" i="7"/>
  <c r="B33" i="7" s="1"/>
  <c r="C34" i="7"/>
  <c r="B34" i="7" s="1"/>
  <c r="C37" i="7"/>
  <c r="B37" i="7" s="1"/>
  <c r="C35" i="7"/>
  <c r="B35" i="7" s="1"/>
  <c r="D6" i="7"/>
  <c r="C6" i="7"/>
  <c r="C7" i="7" s="1"/>
  <c r="D7" i="7"/>
  <c r="E33" i="7"/>
  <c r="E36" i="7"/>
  <c r="D33" i="7"/>
  <c r="D36" i="7"/>
  <c r="C33" i="5"/>
  <c r="B33" i="5" s="1"/>
  <c r="C37" i="5"/>
  <c r="D37" i="5" s="1"/>
  <c r="C34" i="5"/>
  <c r="B34" i="5" s="1"/>
  <c r="D7" i="5"/>
  <c r="C35" i="5"/>
  <c r="B35" i="5" s="1"/>
  <c r="C36" i="5"/>
  <c r="B36" i="5" s="1"/>
  <c r="C7" i="5"/>
  <c r="F11" i="6"/>
  <c r="E5" i="5"/>
  <c r="E33" i="5"/>
  <c r="E37" i="5"/>
  <c r="E6" i="5"/>
  <c r="D33" i="5"/>
  <c r="E38" i="1"/>
  <c r="B33" i="1"/>
  <c r="D33" i="1"/>
  <c r="D38" i="1" s="1"/>
  <c r="E6" i="3"/>
  <c r="F24" i="4"/>
  <c r="E36" i="4"/>
  <c r="E23" i="4"/>
  <c r="C35" i="3" s="1"/>
  <c r="E32" i="4"/>
  <c r="E39" i="4"/>
  <c r="E48" i="4"/>
  <c r="F49" i="4"/>
  <c r="F17" i="4"/>
  <c r="E17" i="4"/>
  <c r="F18" i="4"/>
  <c r="E10" i="4"/>
  <c r="F9" i="4"/>
  <c r="D11" i="4"/>
  <c r="E6" i="4"/>
  <c r="D7" i="1"/>
  <c r="E5" i="1"/>
  <c r="C7" i="1"/>
  <c r="F18" i="2"/>
  <c r="F11" i="2"/>
  <c r="F49" i="2"/>
  <c r="B35" i="3" l="1"/>
  <c r="D35" i="3"/>
  <c r="E35" i="3"/>
  <c r="C34" i="3"/>
  <c r="D34" i="3" s="1"/>
  <c r="C36" i="3"/>
  <c r="C37" i="3"/>
  <c r="D37" i="3" s="1"/>
  <c r="C33" i="3"/>
  <c r="D33" i="3" s="1"/>
  <c r="E33" i="3"/>
  <c r="B33" i="3"/>
  <c r="E7" i="3"/>
  <c r="E37" i="3"/>
  <c r="B37" i="3"/>
  <c r="F11" i="4"/>
  <c r="D38" i="27"/>
  <c r="D38" i="25"/>
  <c r="D38" i="23"/>
  <c r="D38" i="21"/>
  <c r="D38" i="19"/>
  <c r="E38" i="17"/>
  <c r="D38" i="13"/>
  <c r="E38" i="11"/>
  <c r="D38" i="11"/>
  <c r="E38" i="9"/>
  <c r="D38" i="9"/>
  <c r="E7" i="7"/>
  <c r="E6" i="7"/>
  <c r="E34" i="7"/>
  <c r="E37" i="7"/>
  <c r="D37" i="7"/>
  <c r="D34" i="7"/>
  <c r="D35" i="7"/>
  <c r="E35" i="7"/>
  <c r="E38" i="7" s="1"/>
  <c r="C38" i="7"/>
  <c r="D38" i="7"/>
  <c r="D35" i="5"/>
  <c r="E35" i="5"/>
  <c r="E7" i="5"/>
  <c r="D34" i="5"/>
  <c r="B37" i="5"/>
  <c r="C38" i="5"/>
  <c r="E34" i="5"/>
  <c r="E36" i="5"/>
  <c r="D36" i="5"/>
  <c r="D38" i="5" s="1"/>
  <c r="E38" i="5"/>
  <c r="E7" i="1"/>
  <c r="D38" i="3" l="1"/>
  <c r="E34" i="3"/>
  <c r="B34" i="3"/>
  <c r="C38" i="3"/>
  <c r="E36" i="3"/>
  <c r="B36" i="3"/>
  <c r="D36" i="3"/>
  <c r="E38" i="3"/>
</calcChain>
</file>

<file path=xl/sharedStrings.xml><?xml version="1.0" encoding="utf-8"?>
<sst xmlns="http://schemas.openxmlformats.org/spreadsheetml/2006/main" count="911" uniqueCount="58">
  <si>
    <t>MONTHLY BUDGET</t>
  </si>
  <si>
    <t>BUDGET TOTALS</t>
  </si>
  <si>
    <t>ESTIMATED</t>
  </si>
  <si>
    <t>ACTUAL</t>
  </si>
  <si>
    <t xml:space="preserve">DIFFERENCE </t>
  </si>
  <si>
    <t>Income</t>
  </si>
  <si>
    <t>Expenses</t>
  </si>
  <si>
    <t>Balance (Income minus Expenses)</t>
  </si>
  <si>
    <t>WHAT ARE MY TOP 5 HIGHEST OPERATING EXPENSES?</t>
  </si>
  <si>
    <t>EXPENSE</t>
  </si>
  <si>
    <t>AMOUNT</t>
  </si>
  <si>
    <t>% OF EXPENSES</t>
  </si>
  <si>
    <t>15% REDUCTION</t>
  </si>
  <si>
    <t>Total</t>
  </si>
  <si>
    <t>YEARLY BUDGET</t>
  </si>
  <si>
    <t>INCOME</t>
  </si>
  <si>
    <t>TOP 5 AMOUNT</t>
  </si>
  <si>
    <t>DIFFERENCE</t>
  </si>
  <si>
    <t>Total Income</t>
  </si>
  <si>
    <t>PERSONNEL EXPENSES</t>
  </si>
  <si>
    <t>Total Personnel Expenses</t>
  </si>
  <si>
    <t>Total Operating Expenses</t>
  </si>
  <si>
    <t>OPERATING EXPENSES</t>
  </si>
  <si>
    <t>Wages</t>
  </si>
  <si>
    <t>Employee Benefits</t>
  </si>
  <si>
    <t>Personnel Taxes</t>
  </si>
  <si>
    <t>Commission</t>
  </si>
  <si>
    <t>Advertising</t>
  </si>
  <si>
    <t>Bad Debts</t>
  </si>
  <si>
    <t>Cash Discounts</t>
  </si>
  <si>
    <t>Delivery Costs</t>
  </si>
  <si>
    <t>Depreciation</t>
  </si>
  <si>
    <t>Dues and Subscriptions</t>
  </si>
  <si>
    <t>Insurance</t>
  </si>
  <si>
    <t>Interest</t>
  </si>
  <si>
    <t>Legal and Auditing</t>
  </si>
  <si>
    <t>Maintenance and Repairs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</si>
  <si>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</si>
  <si>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</si>
  <si>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</si>
  <si>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</si>
  <si>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</si>
  <si>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</si>
  <si>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</si>
  <si>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</si>
  <si>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</si>
  <si>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Seed</t>
  </si>
  <si>
    <t>Fertilizer</t>
  </si>
  <si>
    <t>Pesticides/Chemicals</t>
  </si>
  <si>
    <t>Feed</t>
  </si>
  <si>
    <t>Veterinary Costs</t>
  </si>
  <si>
    <t>Additional Costs (edit as needed)</t>
  </si>
  <si>
    <t>Livestock Sales</t>
  </si>
  <si>
    <t>Asset Sales (gain/loss)</t>
  </si>
  <si>
    <t>Interest Income</t>
  </si>
  <si>
    <t>Grain Sales</t>
  </si>
  <si>
    <t>Custom Work</t>
  </si>
  <si>
    <t>Enter 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</si>
</sst>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 yyyy;@"/>
    <numFmt numFmtId="166" formatCode="0.0%"/>
    <numFmt numFmtId="169" formatCode="mm/d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9" tint="-0.499984740745262"/>
      <name val="Cambria"/>
      <family val="1"/>
    </font>
    <font>
      <sz val="26"/>
      <color theme="1"/>
      <name val="Cambria"/>
      <family val="1"/>
    </font>
    <font>
      <sz val="26"/>
      <color theme="9" tint="-0.499984740745262"/>
      <name val="Cambria"/>
      <family val="1"/>
    </font>
    <font>
      <sz val="12"/>
      <color theme="1"/>
      <name val="Cambria"/>
      <family val="1"/>
    </font>
    <font>
      <sz val="12"/>
      <color theme="9" tint="-0.499984740745262"/>
      <name val="Cambria"/>
      <family val="1"/>
    </font>
    <font>
      <sz val="14"/>
      <color theme="9" tint="-0.499984740745262"/>
      <name val="Cambria"/>
      <family val="1"/>
    </font>
    <font>
      <sz val="12"/>
      <color theme="1"/>
      <name val="Cambri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3" borderId="0" xfId="0" applyFont="1" applyFill="1"/>
    <xf numFmtId="0" fontId="5" fillId="2" borderId="0" xfId="0" applyFont="1" applyFill="1"/>
    <xf numFmtId="0" fontId="5" fillId="4" borderId="0" xfId="0" applyFont="1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2" borderId="5" xfId="0" applyFont="1" applyFill="1" applyBorder="1"/>
    <xf numFmtId="0" fontId="5" fillId="4" borderId="7" xfId="0" applyFont="1" applyFill="1" applyBorder="1"/>
    <xf numFmtId="0" fontId="7" fillId="2" borderId="0" xfId="0" applyFont="1" applyFill="1"/>
    <xf numFmtId="0" fontId="5" fillId="4" borderId="10" xfId="0" applyFont="1" applyFill="1" applyBorder="1"/>
    <xf numFmtId="0" fontId="8" fillId="4" borderId="0" xfId="0" applyFont="1" applyFill="1"/>
    <xf numFmtId="43" fontId="5" fillId="2" borderId="0" xfId="1" applyFont="1" applyFill="1"/>
    <xf numFmtId="43" fontId="5" fillId="4" borderId="0" xfId="1" applyFont="1" applyFill="1"/>
    <xf numFmtId="43" fontId="8" fillId="4" borderId="0" xfId="1" applyFont="1" applyFill="1"/>
    <xf numFmtId="43" fontId="5" fillId="2" borderId="1" xfId="1" applyFont="1" applyFill="1" applyBorder="1"/>
    <xf numFmtId="43" fontId="5" fillId="4" borderId="8" xfId="1" applyFont="1" applyFill="1" applyBorder="1"/>
    <xf numFmtId="43" fontId="5" fillId="4" borderId="10" xfId="1" applyFont="1" applyFill="1" applyBorder="1"/>
    <xf numFmtId="40" fontId="5" fillId="4" borderId="1" xfId="1" applyNumberFormat="1" applyFont="1" applyFill="1" applyBorder="1"/>
    <xf numFmtId="40" fontId="5" fillId="4" borderId="10" xfId="1" applyNumberFormat="1" applyFont="1" applyFill="1" applyBorder="1"/>
    <xf numFmtId="40" fontId="5" fillId="4" borderId="6" xfId="1" applyNumberFormat="1" applyFont="1" applyFill="1" applyBorder="1"/>
    <xf numFmtId="40" fontId="5" fillId="4" borderId="8" xfId="1" applyNumberFormat="1" applyFont="1" applyFill="1" applyBorder="1"/>
    <xf numFmtId="40" fontId="5" fillId="4" borderId="0" xfId="1" applyNumberFormat="1" applyFont="1" applyFill="1"/>
    <xf numFmtId="40" fontId="8" fillId="4" borderId="0" xfId="1" applyNumberFormat="1" applyFont="1" applyFill="1"/>
    <xf numFmtId="40" fontId="5" fillId="2" borderId="1" xfId="1" applyNumberFormat="1" applyFont="1" applyFill="1" applyBorder="1"/>
    <xf numFmtId="40" fontId="5" fillId="4" borderId="9" xfId="0" applyNumberFormat="1" applyFont="1" applyFill="1" applyBorder="1"/>
    <xf numFmtId="166" fontId="5" fillId="2" borderId="0" xfId="2" applyNumberFormat="1" applyFont="1" applyFill="1"/>
    <xf numFmtId="43" fontId="8" fillId="4" borderId="0" xfId="0" applyNumberFormat="1" applyFont="1" applyFill="1"/>
    <xf numFmtId="9" fontId="8" fillId="4" borderId="0" xfId="0" applyNumberFormat="1" applyFont="1" applyFill="1"/>
    <xf numFmtId="43" fontId="8" fillId="4" borderId="10" xfId="0" applyNumberFormat="1" applyFont="1" applyFill="1" applyBorder="1"/>
    <xf numFmtId="40" fontId="8" fillId="4" borderId="10" xfId="0" applyNumberFormat="1" applyFont="1" applyFill="1" applyBorder="1"/>
    <xf numFmtId="43" fontId="8" fillId="4" borderId="8" xfId="0" applyNumberFormat="1" applyFont="1" applyFill="1" applyBorder="1"/>
    <xf numFmtId="40" fontId="8" fillId="4" borderId="8" xfId="0" applyNumberFormat="1" applyFont="1" applyFill="1" applyBorder="1"/>
    <xf numFmtId="40" fontId="8" fillId="4" borderId="0" xfId="0" applyNumberFormat="1" applyFont="1" applyFill="1"/>
    <xf numFmtId="40" fontId="5" fillId="4" borderId="8" xfId="0" applyNumberFormat="1" applyFont="1" applyFill="1" applyBorder="1"/>
    <xf numFmtId="166" fontId="5" fillId="4" borderId="0" xfId="2" applyNumberFormat="1" applyFont="1" applyFill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169" fontId="6" fillId="0" borderId="0" xfId="0" applyNumberFormat="1" applyFont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8" fillId="4" borderId="1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5" fillId="3" borderId="2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8" fillId="4" borderId="7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43" fontId="5" fillId="2" borderId="1" xfId="1" applyFont="1" applyFill="1" applyBorder="1" applyProtection="1">
      <protection locked="0"/>
    </xf>
    <xf numFmtId="43" fontId="5" fillId="2" borderId="0" xfId="1" applyFont="1" applyFill="1" applyProtection="1">
      <protection locked="0"/>
    </xf>
    <xf numFmtId="164" fontId="6" fillId="0" borderId="0" xfId="0" applyNumberFormat="1" applyFont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831"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67" formatCode="0.00_);[Red]\(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5" formatCode="_(* #,##0.00_);_(* \(#,##0.00\);_(* &quot;-&quot;??_);_(@_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66" formatCode="0.0%"/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166" formatCode="0.0%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8" formatCode="#,##0.00_);[Red]\(#,##0.00\)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'Yearly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'Yearly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'Yearly Budget Summary'!$C$5:$D$5</c:f>
              <c:numCache>
                <c:formatCode>#,##0.00_);[Red]\(#,##0.00\)</c:formatCode>
                <c:ptCount val="2"/>
                <c:pt idx="0">
                  <c:v>1055000</c:v>
                </c:pt>
                <c:pt idx="1">
                  <c:v>1145000</c:v>
                </c:pt>
              </c:numCache>
            </c:numRef>
          </c:val>
        </c:ser>
        <c:ser>
          <c:idx val="1"/>
          <c:order val="1"/>
          <c:tx>
            <c:strRef>
              <c:f>'Yearly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'Yearly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'Yearly Budget Summary'!$C$6:$D$6</c:f>
              <c:numCache>
                <c:formatCode>#,##0.00_);[Red]\(#,##0.00\)</c:formatCode>
                <c:ptCount val="2"/>
                <c:pt idx="0">
                  <c:v>814800</c:v>
                </c:pt>
                <c:pt idx="1">
                  <c:v>781740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783136"/>
        <c:axId val="317506936"/>
      </c:barChart>
      <c:catAx>
        <c:axId val="31778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506936"/>
        <c:crosses val="autoZero"/>
        <c:auto val="1"/>
        <c:lblAlgn val="ctr"/>
        <c:lblOffset val="100"/>
        <c:noMultiLvlLbl val="0"/>
      </c:catAx>
      <c:valAx>
        <c:axId val="31750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783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'January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'January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'January Budget Summary'!$C$5:$D$5</c:f>
              <c:numCache>
                <c:formatCode>#,##0.00_);[Red]\(#,##0.00\)</c:formatCode>
                <c:ptCount val="2"/>
                <c:pt idx="0">
                  <c:v>65000</c:v>
                </c:pt>
                <c:pt idx="1">
                  <c:v>72500</c:v>
                </c:pt>
              </c:numCache>
            </c:numRef>
          </c:val>
        </c:ser>
        <c:ser>
          <c:idx val="1"/>
          <c:order val="1"/>
          <c:tx>
            <c:strRef>
              <c:f>'January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'January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'January Budget Summary'!$C$6:$D$6</c:f>
              <c:numCache>
                <c:formatCode>#,##0.00_);[Red]\(#,##0.00\)</c:formatCode>
                <c:ptCount val="2"/>
                <c:pt idx="0">
                  <c:v>89900</c:v>
                </c:pt>
                <c:pt idx="1">
                  <c:v>85145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190296"/>
        <c:axId val="317190680"/>
      </c:barChart>
      <c:catAx>
        <c:axId val="31719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190680"/>
        <c:crosses val="autoZero"/>
        <c:auto val="1"/>
        <c:lblAlgn val="ctr"/>
        <c:lblOffset val="100"/>
        <c:noMultiLvlLbl val="0"/>
      </c:catAx>
      <c:valAx>
        <c:axId val="3171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190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'February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'February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'February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'February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'February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'February Budget Summary'!$C$6:$D$6</c:f>
              <c:numCache>
                <c:formatCode>#,##0.00_);[Red]\(#,##0.00\)</c:formatCode>
                <c:ptCount val="2"/>
                <c:pt idx="0">
                  <c:v>80900</c:v>
                </c:pt>
                <c:pt idx="1">
                  <c:v>75145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07584"/>
        <c:axId val="188107192"/>
      </c:barChart>
      <c:catAx>
        <c:axId val="1881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07192"/>
        <c:crosses val="autoZero"/>
        <c:auto val="1"/>
        <c:lblAlgn val="ctr"/>
        <c:lblOffset val="100"/>
        <c:noMultiLvlLbl val="0"/>
      </c:catAx>
      <c:valAx>
        <c:axId val="18810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07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'March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'March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'March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'March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'March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'March Budget Summary'!$C$6:$D$6</c:f>
              <c:numCache>
                <c:formatCode>#,##0.00_);[Red]\(#,##0.00\)</c:formatCode>
                <c:ptCount val="2"/>
                <c:pt idx="0">
                  <c:v>64400</c:v>
                </c:pt>
                <c:pt idx="1">
                  <c:v>62145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08368"/>
        <c:axId val="188109544"/>
      </c:barChart>
      <c:catAx>
        <c:axId val="1881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09544"/>
        <c:crosses val="autoZero"/>
        <c:auto val="1"/>
        <c:lblAlgn val="ctr"/>
        <c:lblOffset val="100"/>
        <c:noMultiLvlLbl val="0"/>
      </c:catAx>
      <c:valAx>
        <c:axId val="18810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'April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'April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'April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'April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'April Budget Summary'!$C$6:$D$6</c:f>
              <c:numCache>
                <c:formatCode>#,##0.00_);[Red]\(#,##0.00\)</c:formatCode>
                <c:ptCount val="2"/>
                <c:pt idx="0">
                  <c:v>64400</c:v>
                </c:pt>
                <c:pt idx="1">
                  <c:v>62145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176008"/>
        <c:axId val="319174048"/>
      </c:barChart>
      <c:catAx>
        <c:axId val="31917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74048"/>
        <c:crosses val="autoZero"/>
        <c:auto val="1"/>
        <c:lblAlgn val="ctr"/>
        <c:lblOffset val="100"/>
        <c:noMultiLvlLbl val="0"/>
      </c:catAx>
      <c:valAx>
        <c:axId val="31917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760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'May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'May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'May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'May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'May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'May Budget Summary'!$C$6:$D$6</c:f>
              <c:numCache>
                <c:formatCode>#,##0.00_);[Red]\(#,##0.00\)</c:formatCode>
                <c:ptCount val="2"/>
                <c:pt idx="0">
                  <c:v>64400</c:v>
                </c:pt>
                <c:pt idx="1">
                  <c:v>62145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175616"/>
        <c:axId val="319176400"/>
      </c:barChart>
      <c:catAx>
        <c:axId val="3191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76400"/>
        <c:crosses val="autoZero"/>
        <c:auto val="1"/>
        <c:lblAlgn val="ctr"/>
        <c:lblOffset val="100"/>
        <c:noMultiLvlLbl val="0"/>
      </c:catAx>
      <c:valAx>
        <c:axId val="31917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75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'June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'June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'June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'June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'June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'June Budget Summary'!$C$6:$D$6</c:f>
              <c:numCache>
                <c:formatCode>#,##0.00_);[Red]\(#,##0.00\)</c:formatCode>
                <c:ptCount val="2"/>
                <c:pt idx="0">
                  <c:v>64400</c:v>
                </c:pt>
                <c:pt idx="1">
                  <c:v>62145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181496"/>
        <c:axId val="319179536"/>
      </c:barChart>
      <c:catAx>
        <c:axId val="31918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79536"/>
        <c:crosses val="autoZero"/>
        <c:auto val="1"/>
        <c:lblAlgn val="ctr"/>
        <c:lblOffset val="100"/>
        <c:noMultiLvlLbl val="0"/>
      </c:catAx>
      <c:valAx>
        <c:axId val="3191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81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'July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'July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'July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'July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'July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'July Budget Summary'!$C$6:$D$6</c:f>
              <c:numCache>
                <c:formatCode>#,##0.00_);[Red]\(#,##0.00\)</c:formatCode>
                <c:ptCount val="2"/>
                <c:pt idx="0">
                  <c:v>64400</c:v>
                </c:pt>
                <c:pt idx="1">
                  <c:v>62145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177184"/>
        <c:axId val="319177576"/>
      </c:barChart>
      <c:catAx>
        <c:axId val="31917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77576"/>
        <c:crosses val="autoZero"/>
        <c:auto val="1"/>
        <c:lblAlgn val="ctr"/>
        <c:lblOffset val="100"/>
        <c:noMultiLvlLbl val="0"/>
      </c:catAx>
      <c:valAx>
        <c:axId val="31917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77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'August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'August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'August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'August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'August Budget Summary'!$C$6:$D$6</c:f>
              <c:numCache>
                <c:formatCode>#,##0.00_);[Red]\(#,##0.00\)</c:formatCode>
                <c:ptCount val="2"/>
                <c:pt idx="0">
                  <c:v>64400</c:v>
                </c:pt>
                <c:pt idx="1">
                  <c:v>62145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178752"/>
        <c:axId val="319177968"/>
      </c:barChart>
      <c:catAx>
        <c:axId val="31917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77968"/>
        <c:crosses val="autoZero"/>
        <c:auto val="1"/>
        <c:lblAlgn val="ctr"/>
        <c:lblOffset val="100"/>
        <c:noMultiLvlLbl val="0"/>
      </c:catAx>
      <c:valAx>
        <c:axId val="31917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78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'September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'September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'September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'September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'September Budget Summary'!$C$6:$D$6</c:f>
              <c:numCache>
                <c:formatCode>#,##0.00_);[Red]\(#,##0.00\)</c:formatCode>
                <c:ptCount val="2"/>
                <c:pt idx="0">
                  <c:v>64400</c:v>
                </c:pt>
                <c:pt idx="1">
                  <c:v>62145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181104"/>
        <c:axId val="319180320"/>
      </c:barChart>
      <c:catAx>
        <c:axId val="31918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80320"/>
        <c:crosses val="autoZero"/>
        <c:auto val="1"/>
        <c:lblAlgn val="ctr"/>
        <c:lblOffset val="100"/>
        <c:noMultiLvlLbl val="0"/>
      </c:catAx>
      <c:valAx>
        <c:axId val="31918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81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'November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'November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'November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'November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'November Budget Summary'!$C$6:$D$6</c:f>
              <c:numCache>
                <c:formatCode>#,##0.00_);[Red]\(#,##0.00\)</c:formatCode>
                <c:ptCount val="2"/>
                <c:pt idx="0">
                  <c:v>64400</c:v>
                </c:pt>
                <c:pt idx="1">
                  <c:v>62145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9175224"/>
        <c:axId val="188011664"/>
      </c:barChart>
      <c:catAx>
        <c:axId val="31917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11664"/>
        <c:crosses val="autoZero"/>
        <c:auto val="1"/>
        <c:lblAlgn val="ctr"/>
        <c:lblOffset val="100"/>
        <c:noMultiLvlLbl val="0"/>
      </c:catAx>
      <c:valAx>
        <c:axId val="18801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75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'November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'November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'November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'November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'November Budget Summary'!$C$6:$D$6</c:f>
              <c:numCache>
                <c:formatCode>#,##0.00_);[Red]\(#,##0.00\)</c:formatCode>
                <c:ptCount val="2"/>
                <c:pt idx="0">
                  <c:v>64400</c:v>
                </c:pt>
                <c:pt idx="1">
                  <c:v>62145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10720"/>
        <c:axId val="319180712"/>
      </c:barChart>
      <c:catAx>
        <c:axId val="1881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180712"/>
        <c:crosses val="autoZero"/>
        <c:auto val="1"/>
        <c:lblAlgn val="ctr"/>
        <c:lblOffset val="100"/>
        <c:noMultiLvlLbl val="0"/>
      </c:catAx>
      <c:valAx>
        <c:axId val="31918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107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0.1040739992970964"/>
          <c:y val="3.7113149474679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'December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'December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'December Budget Summary'!$C$5:$D$5</c:f>
              <c:numCache>
                <c:formatCode>#,##0.00_);[Red]\(#,##0.00\)</c:formatCode>
                <c:ptCount val="2"/>
                <c:pt idx="0">
                  <c:v>90000</c:v>
                </c:pt>
                <c:pt idx="1">
                  <c:v>97500</c:v>
                </c:pt>
              </c:numCache>
            </c:numRef>
          </c:val>
        </c:ser>
        <c:ser>
          <c:idx val="1"/>
          <c:order val="1"/>
          <c:tx>
            <c:strRef>
              <c:f>'December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'December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'December Budget Summary'!$C$6:$D$6</c:f>
              <c:numCache>
                <c:formatCode>#,##0.00_);[Red]\(#,##0.00\)</c:formatCode>
                <c:ptCount val="2"/>
                <c:pt idx="0">
                  <c:v>64400</c:v>
                </c:pt>
                <c:pt idx="1">
                  <c:v>62145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109152"/>
        <c:axId val="188010880"/>
      </c:barChart>
      <c:catAx>
        <c:axId val="1881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10880"/>
        <c:crosses val="autoZero"/>
        <c:auto val="1"/>
        <c:lblAlgn val="ctr"/>
        <c:lblOffset val="100"/>
        <c:noMultiLvlLbl val="0"/>
      </c:catAx>
      <c:valAx>
        <c:axId val="1880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091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74568349896423"/>
          <c:y val="3.9261624543727509E-2"/>
          <c:w val="0.18404139653483487"/>
          <c:h val="5.17840030502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5</xdr:col>
      <xdr:colOff>295275</xdr:colOff>
      <xdr:row>29</xdr:row>
      <xdr:rowOff>138114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42861</xdr:rowOff>
    </xdr:from>
    <xdr:to>
      <xdr:col>5</xdr:col>
      <xdr:colOff>0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otalsTableYearly" displayName="TotalsTableYearly" ref="B4:E7" totalsRowCount="1" headerRowDxfId="830" headerRowBorderDxfId="829" tableBorderDxfId="828" totalsRowBorderDxfId="827">
  <autoFilter ref="B4:E6"/>
  <tableColumns count="4">
    <tableColumn id="1" name="BUDGET TOTALS" totalsRowLabel="Total" dataDxfId="826" totalsRowDxfId="825"/>
    <tableColumn id="2" name="ESTIMATED" totalsRowFunction="custom" dataDxfId="824" totalsRowDxfId="823">
      <calculatedColumnFormula>YearlyIncome[[#Totals],[ESTIMATED]]</calculatedColumnFormula>
      <totalsRowFormula>C5-C6</totalsRowFormula>
    </tableColumn>
    <tableColumn id="3" name="ACTUAL" totalsRowFunction="custom" dataDxfId="822" totalsRowDxfId="821">
      <totalsRowFormula>D5-D6</totalsRowFormula>
    </tableColumn>
    <tableColumn id="4" name="DIFFERENCE " totalsRowFunction="custom" dataDxfId="820" totalsRowDxfId="819" dataCellStyle="Comma">
      <calculatedColumnFormula>TotalsTableYearly[[#This Row],[ACTUAL]]-TotalsTableYearly[[#This Row],[ESTIMATED]]</calculatedColumnFormula>
      <totalsRowFormula>TotalsTableYearly[[#Totals],[ACTUAL]]-TotalsTableYearly[[#Totals],[ESTIMATED]]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Table25" displayName="Table25" ref="B32:E38" totalsRowCount="1" headerRowDxfId="818" dataDxfId="817" totalsRowDxfId="816">
  <autoFilter ref="B32:E37"/>
  <tableColumns count="4">
    <tableColumn id="1" name="EXPENSE" totalsRowLabel="Total" dataDxfId="815" totalsRowDxfId="814">
      <calculatedColumnFormula>INDEX(OpExpYearly[],(MATCH(Table25[[#This Row],[AMOUNT]],OpExpYearly[TOP 5 AMOUNT],0)),1)</calculatedColumnFormula>
    </tableColumn>
    <tableColumn id="2" name="AMOUNT" totalsRowFunction="sum" dataDxfId="813" totalsRowDxfId="812" dataCellStyle="Comma">
      <calculatedColumnFormula>LARGE(OpExpYearly[TOP 5 AMOUNT],1)</calculatedColumnFormula>
    </tableColumn>
    <tableColumn id="3" name="% OF EXPENSES" totalsRowFunction="sum" dataDxfId="811" totalsRowDxfId="810" dataCellStyle="Percent">
      <calculatedColumnFormula>Table25[[#This Row],[AMOUNT]]/$D$6</calculatedColumnFormula>
    </tableColumn>
    <tableColumn id="4" name="15% REDUCTION" totalsRowFunction="sum" dataDxfId="809" totalsRowDxfId="808" dataCellStyle="Comma">
      <calculatedColumnFormula>Table25[[#This Row],[AMOUNT]]*0.15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YearlyIncome" displayName="YearlyIncome" ref="B5:F11" totalsRowCount="1" headerRowDxfId="807" dataDxfId="806" totalsRowDxfId="805">
  <autoFilter ref="B5:F10"/>
  <tableColumns count="5">
    <tableColumn id="1" name="INCOME" totalsRowLabel="Total Income" dataDxfId="105" totalsRowDxfId="804"/>
    <tableColumn id="2" name="ESTIMATED" totalsRowFunction="sum" dataDxfId="803" totalsRowDxfId="802" dataCellStyle="Comma">
      <calculatedColumnFormula>JanuaryIncome[[#This Row],[ESTIMATED]]+FebIncome[[#This Row],[ESTIMATED]]+MarchIncome[[#This Row],[ESTIMATED]]+AprilIncome[[#This Row],[ESTIMATED]]+MayIncome[[#This Row],[ESTIMATED]]+JuneIncome[[#This Row],[ESTIMATED]]+JulyIncome[[#This Row],[ESTIMATED]]+AugustIncome[[#This Row],[ESTIMATED]]+SeptIncome[[#This Row],[ESTIMATED]]+OctIncome[[#This Row],[ESTIMATED]]+NovIncome[[#This Row],[ESTIMATED]]+DecIncome[[#This Row],[ESTIMATED]]</calculatedColumnFormula>
    </tableColumn>
    <tableColumn id="3" name="ACTUAL" totalsRowFunction="sum" dataDxfId="801" totalsRowDxfId="800" dataCellStyle="Comma">
      <calculatedColumnFormula>JanuaryIncome[[#This Row],[ACTUAL]]+FebIncome[[#This Row],[ACTUAL]]+MarchIncome[[#This Row],[ACTUAL]]+AprilIncome[[#This Row],[ACTUAL]]+MayIncome[[#This Row],[ACTUAL]]+JuneIncome[[#This Row],[ACTUAL]]+JulyIncome[[#This Row],[ACTUAL]]+AugustIncome[[#This Row],[ACTUAL]]+SeptIncome[[#This Row],[ACTUAL]]+OctIncome[[#This Row],[ACTUAL]]+NovIncome[[#This Row],[ACTUAL]]+DecIncome[[#This Row],[ACTUAL]]</calculatedColumnFormula>
    </tableColumn>
    <tableColumn id="4" name="TOP 5 AMOUNT" dataDxfId="799" totalsRowDxfId="798" dataCellStyle="Comma">
      <calculatedColumnFormula>YearlyIncome[[#This Row],[ACTUAL]]+(10^-6)*ROW(YearlyIncome[[#This Row],[ACTUAL]])</calculatedColumnFormula>
    </tableColumn>
    <tableColumn id="5" name="DIFFERENCE" totalsRowFunction="sum" dataDxfId="797" totalsRowDxfId="796" dataCellStyle="Comma">
      <calculatedColumnFormula>YearlyIncome[[#This Row],[ACTUAL]]-YearlyIncome[[#This Row],[ESTIMATED]]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PersonnelTableYearly" displayName="PersonnelTableYearly" ref="B13:F18" totalsRowCount="1" headerRowDxfId="795" dataDxfId="793" headerRowBorderDxfId="794" tableBorderDxfId="792" totalsRowBorderDxfId="791">
  <autoFilter ref="B13:F17"/>
  <tableColumns count="5">
    <tableColumn id="1" name="PERSONNEL EXPENSES" totalsRowLabel="Total Personnel Expenses" dataDxfId="104" totalsRowDxfId="103"/>
    <tableColumn id="2" name="ESTIMATED" totalsRowFunction="sum" dataDxfId="790" totalsRowDxfId="789" dataCellStyle="Comma">
      <calculatedColumnFormula>PersonnelTableJan[[#This Row],[ESTIMATED]]+PersonnelTableFeb[[#This Row],[ESTIMATED]]+PersonnelTableMarch[[#This Row],[ESTIMATED]]+PersonnelTableApril[[#This Row],[ESTIMATED]]+PersonnelTableMay[[#This Row],[ESTIMATED]]+PersonnelTableJune[[#This Row],[ESTIMATED]]+PersonnelTableJuly[[#This Row],[ESTIMATED]]+PersonnelTableAugust[[#This Row],[ESTIMATED]]+PersonnelTableSept[[#This Row],[ESTIMATED]]+PersonnelTableOct[[#This Row],[ESTIMATED]]+PersonnelTableNov[[#This Row],[ESTIMATED]]+PersonnelTableDec[[#This Row],[ESTIMATED]]</calculatedColumnFormula>
    </tableColumn>
    <tableColumn id="3" name="ACTUAL" totalsRowFunction="sum" dataDxfId="788" totalsRowDxfId="787" dataCellStyle="Comma">
      <calculatedColumnFormula>PersonnelTableJan[[#This Row],[ACTUAL]]+PersonnelTableFeb[[#This Row],[ACTUAL]]+PersonnelTableMarch[[#This Row],[ACTUAL]]+PersonnelTableApril[[#This Row],[ACTUAL]]+PersonnelTableMay[[#This Row],[ACTUAL]]+PersonnelTableJune[[#This Row],[ACTUAL]]+PersonnelTableJuly[[#This Row],[ACTUAL]]+PersonnelTableAugust[[#This Row],[ACTUAL]]+PersonnelTableSept[[#This Row],[ACTUAL]]+PersonnelTableOct[[#This Row],[ACTUAL]]+PersonnelTableNov[[#This Row],[ACTUAL]]+PersonnelTableDec[[#This Row],[ACTUAL]]</calculatedColumnFormula>
    </tableColumn>
    <tableColumn id="4" name="TOP 5 AMOUNT" dataDxfId="786" totalsRowDxfId="785" dataCellStyle="Comma">
      <calculatedColumnFormula>PersonnelTableYearly[[#This Row],[ACTUAL]]+(10^-6)*ROW(PersonnelTableYearly[[#This Row],[ACTUAL]])</calculatedColumnFormula>
    </tableColumn>
    <tableColumn id="5" name="DIFFERENCE" totalsRowFunction="sum" dataDxfId="784" totalsRowDxfId="783" dataCellStyle="Comma">
      <calculatedColumnFormula>PersonnelTableYearly[[#This Row],[ESTIMATED]]-PersonnelTableYearly[[#This Row],[ACTUAL]]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OpExpYearly" displayName="OpExpYearly" ref="B20:F49" totalsRowCount="1" headerRowDxfId="782" dataDxfId="781">
  <autoFilter ref="B20:F48"/>
  <sortState ref="B21:F48">
    <sortCondition descending="1" ref="D20:D48"/>
  </sortState>
  <tableColumns count="5">
    <tableColumn id="1" name="OPERATING EXPENSES" totalsRowLabel="Total Operating Expenses" dataDxfId="102" totalsRowDxfId="780"/>
    <tableColumn id="2" name="ESTIMATED" totalsRowFunction="sum" dataDxfId="779" totalsRowDxfId="778" dataCellStyle="Comma">
      <calculatedColumnFormula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calculatedColumnFormula>
    </tableColumn>
    <tableColumn id="3" name="ACTUAL" totalsRowFunction="sum" dataDxfId="777" totalsRowDxfId="776" dataCellStyle="Comma">
      <calculatedColumnFormula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calculatedColumnFormula>
    </tableColumn>
    <tableColumn id="4" name="TOP 5 AMOUNT" dataDxfId="775" totalsRowDxfId="774" dataCellStyle="Comma">
      <calculatedColumnFormula>OpExpYearly[[#This Row],[ACTUAL]]+(10^-6)*ROW(OpExpYearly[[#This Row],[ACTUAL]])</calculatedColumnFormula>
    </tableColumn>
    <tableColumn id="5" name="DIFFERENCE" totalsRowFunction="sum" dataDxfId="773" totalsRowDxfId="772" dataCellStyle="Comma">
      <calculatedColumnFormula>OpExpYearly[[#This Row],[ESTIMATED]]-OpExpYearly[[#This Row],[ACTUAL]]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TotalsTableJan" displayName="TotalsTableJan" ref="B4:E7" totalsRowCount="1" headerRowDxfId="771" dataDxfId="769" headerRowBorderDxfId="770" tableBorderDxfId="768" totalsRowBorderDxfId="767">
  <autoFilter ref="B4:E6"/>
  <tableColumns count="4">
    <tableColumn id="1" name="BUDGET TOTALS" totalsRowLabel="Balance (Income minus Expenses)" dataDxfId="766" totalsRowDxfId="765"/>
    <tableColumn id="2" name="ESTIMATED" totalsRowFunction="custom" dataDxfId="764" totalsRowDxfId="763" dataCellStyle="Comma">
      <calculatedColumnFormula>OpExpJan[[#Totals],[ESTIMATED]]</calculatedColumnFormula>
      <totalsRowFormula>C5-C6</totalsRowFormula>
    </tableColumn>
    <tableColumn id="3" name="ACTUAL" totalsRowFunction="custom" dataDxfId="762" totalsRowDxfId="761" dataCellStyle="Comma">
      <totalsRowFormula>D5-D6</totalsRowFormula>
    </tableColumn>
    <tableColumn id="4" name="DIFFERENCE " totalsRowFunction="custom" dataDxfId="760" totalsRowDxfId="759" dataCellStyle="Comma">
      <calculatedColumnFormula>TotalsTableJan[[#This Row],[ACTUAL]]-TotalsTableJan[[#This Row],[ESTIMATED]]</calculatedColumnFormula>
      <totalsRowFormula>TotalsTableJan[[#Totals],[ACTUAL]]-TotalsTableJan[[#Totals],[ESTIMATED]]</totalsRowFormula>
    </tableColumn>
  </tableColumns>
  <tableStyleInfo name="TableStyleLight14" showFirstColumn="0" showLastColumn="0" showRowStripes="0" showColumnStripes="0"/>
</table>
</file>

<file path=xl/tables/table7.xml><?xml version="1.0" encoding="utf-8"?>
<table xmlns="http://schemas.openxmlformats.org/spreadsheetml/2006/main" id="2" name="Top5ExpJan" displayName="Top5ExpJan" ref="B32:E38" totalsRowCount="1" headerRowDxfId="758" dataDxfId="757" totalsRowDxfId="756">
  <autoFilter ref="B32:E37"/>
  <tableColumns count="4">
    <tableColumn id="1" name="EXPENSE" totalsRowLabel="Total" dataDxfId="755" totalsRowDxfId="754">
      <calculatedColumnFormula>INDEX(OpExpJan[],(MATCH(Top5ExpJan[[#This Row],[AMOUNT]],OpExpJan[TOP 5 AMOUNT],0)),1)</calculatedColumnFormula>
    </tableColumn>
    <tableColumn id="2" name="AMOUNT" totalsRowFunction="sum" dataDxfId="753" totalsRowDxfId="752" dataCellStyle="Comma">
      <calculatedColumnFormula>LARGE(OpExpJan[TOP 5 AMOUNT],1)</calculatedColumnFormula>
    </tableColumn>
    <tableColumn id="3" name="% OF EXPENSES" totalsRowFunction="sum" dataDxfId="751" totalsRowDxfId="750" dataCellStyle="Percent">
      <calculatedColumnFormula>Top5ExpJan[[#This Row],[AMOUNT]]/$D$6</calculatedColumnFormula>
    </tableColumn>
    <tableColumn id="4" name="15% REDUCTION" totalsRowFunction="sum" dataDxfId="749" totalsRowDxfId="748" dataCellStyle="Comma">
      <calculatedColumnFormula>Top5ExpJan[[#This Row],[AMOUNT]]*0.15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5" name="JanuaryIncome" displayName="JanuaryIncome" ref="B5:F11" totalsRowCount="1" headerRowDxfId="747" dataDxfId="746" totalsRowDxfId="745">
  <autoFilter ref="B5:F10"/>
  <tableColumns count="5">
    <tableColumn id="1" name="INCOME" totalsRowLabel="Total Income" dataDxfId="101" totalsRowDxfId="744"/>
    <tableColumn id="2" name="ESTIMATED" totalsRowFunction="sum" dataDxfId="100" totalsRowDxfId="743" dataCellStyle="Comma"/>
    <tableColumn id="3" name="ACTUAL" totalsRowFunction="sum" dataDxfId="99" totalsRowDxfId="742" dataCellStyle="Comma"/>
    <tableColumn id="4" name="TOP 5 AMOUNT" dataDxfId="741" totalsRowDxfId="740" dataCellStyle="Comma">
      <calculatedColumnFormula>JanuaryIncome[[#This Row],[ACTUAL]]+(10^-6)*ROW(JanuaryIncome[[#This Row],[ACTUAL]])</calculatedColumnFormula>
    </tableColumn>
    <tableColumn id="5" name="DIFFERENCE" totalsRowFunction="sum" dataDxfId="739" totalsRowDxfId="738" dataCellStyle="Comma">
      <calculatedColumnFormula>JanuaryIncome[[#This Row],[ACTUAL]]-JanuaryIncome[[#This Row],[ESTIMATED]]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6" name="PersonnelTableJan" displayName="PersonnelTableJan" ref="B13:F18" totalsRowCount="1" headerRowDxfId="737" dataDxfId="735" headerRowBorderDxfId="736" tableBorderDxfId="734" totalsRowBorderDxfId="733">
  <autoFilter ref="B13:F17"/>
  <tableColumns count="5">
    <tableColumn id="1" name="PERSONNEL EXPENSES" totalsRowLabel="Total Personnel Expenses" dataDxfId="98" totalsRowDxfId="732"/>
    <tableColumn id="2" name="ESTIMATED" totalsRowFunction="sum" dataDxfId="97" totalsRowDxfId="731" dataCellStyle="Comma"/>
    <tableColumn id="3" name="ACTUAL" totalsRowFunction="sum" dataDxfId="96" totalsRowDxfId="730" dataCellStyle="Comma"/>
    <tableColumn id="4" name="TOP 5 AMOUNT" dataDxfId="729" totalsRowDxfId="728" dataCellStyle="Comma">
      <calculatedColumnFormula>PersonnelTableJan[[#This Row],[ACTUAL]]+(10^-6)*ROW(PersonnelTableJan[[#This Row],[ACTUAL]])</calculatedColumnFormula>
    </tableColumn>
    <tableColumn id="5" name="DIFFERENCE" totalsRowFunction="sum" dataDxfId="727" totalsRowDxfId="726" dataCellStyle="Comma">
      <calculatedColumnFormula>PersonnelTableJan[[#This Row],[ESTIMATED]]-PersonnelTableJan[[#This Row],[ACTUAL]]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7" name="OpExpJan" displayName="OpExpJan" ref="B20:F49" totalsRowCount="1" headerRowDxfId="725" dataDxfId="724">
  <autoFilter ref="B20:F48"/>
  <sortState ref="B21:F48">
    <sortCondition descending="1" ref="D20:D48"/>
  </sortState>
  <tableColumns count="5">
    <tableColumn id="1" name="OPERATING EXPENSES" totalsRowLabel="Total Operating Expenses" dataDxfId="95" totalsRowDxfId="723"/>
    <tableColumn id="2" name="ESTIMATED" totalsRowFunction="sum" dataDxfId="94" totalsRowDxfId="722" dataCellStyle="Comma"/>
    <tableColumn id="3" name="ACTUAL" totalsRowFunction="sum" dataDxfId="93" totalsRowDxfId="721" dataCellStyle="Comma"/>
    <tableColumn id="4" name="TOP 5 AMOUNT" dataDxfId="720" totalsRowDxfId="719" dataCellStyle="Comma">
      <calculatedColumnFormula>OpExpJan[[#This Row],[ACTUAL]]+(10^-6)*ROW(OpExpJan[[#This Row],[ACTUAL]])</calculatedColumnFormula>
    </tableColumn>
    <tableColumn id="5" name="DIFFERENCE" totalsRowFunction="sum" dataDxfId="718" totalsRowDxfId="717" dataCellStyle="Comma">
      <calculatedColumnFormula>OpExpJan[[#This Row],[ESTIMATED]]-OpExpJan[[#This Row],[ACTUAL]]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otalsTableFeb" displayName="TotalsTableFeb" ref="B4:E7" totalsRowCount="1" headerRowDxfId="716" dataDxfId="714" headerRowBorderDxfId="715" tableBorderDxfId="713" totalsRowBorderDxfId="712">
  <autoFilter ref="B4:E6"/>
  <tableColumns count="4">
    <tableColumn id="1" name="BUDGET TOTALS" totalsRowLabel="Balance (Income minus Expenses)" dataDxfId="711" totalsRowDxfId="710"/>
    <tableColumn id="2" name="ESTIMATED" totalsRowFunction="custom" dataDxfId="709" totalsRowDxfId="708" dataCellStyle="Comma">
      <calculatedColumnFormula>OpExpJan[[#Totals],[ESTIMATED]]</calculatedColumnFormula>
      <totalsRowFormula>C5-C6</totalsRowFormula>
    </tableColumn>
    <tableColumn id="3" name="ACTUAL" totalsRowFunction="custom" dataDxfId="707" totalsRowDxfId="706" dataCellStyle="Comma">
      <totalsRowFormula>D5-D6</totalsRowFormula>
    </tableColumn>
    <tableColumn id="4" name="DIFFERENCE " totalsRowFunction="custom" dataDxfId="705" totalsRowDxfId="704" dataCellStyle="Comma">
      <calculatedColumnFormula>TotalsTableFeb[[#This Row],[ACTUAL]]-TotalsTableFeb[[#This Row],[ESTIMATED]]</calculatedColumnFormula>
      <totalsRowFormula>TotalsTableFeb[[#Totals],[ACTUAL]]-TotalsTableFeb[[#Totals],[ESTIMATED]]</totalsRowFormula>
    </tableColumn>
  </tableColumns>
  <tableStyleInfo name="TableStyleLight14" showFirstColumn="0" showLastColumn="0" showRowStripes="0" showColumnStripes="0"/>
</table>
</file>

<file path=xl/tables/table12.xml><?xml version="1.0" encoding="utf-8"?>
<table xmlns="http://schemas.openxmlformats.org/spreadsheetml/2006/main" id="12" name="Top5ExpFeb" displayName="Top5ExpFeb" ref="B32:E38" totalsRowCount="1" headerRowDxfId="703" dataDxfId="702" totalsRowDxfId="701">
  <autoFilter ref="B32:E37"/>
  <tableColumns count="4">
    <tableColumn id="1" name="EXPENSE" totalsRowLabel="Total" dataDxfId="700" totalsRowDxfId="699">
      <calculatedColumnFormula>INDEX(OpExpFeb[],(MATCH(Top5ExpFeb[[#This Row],[AMOUNT]],OpExpFeb[TOP 5 AMOUNT],0)),1)</calculatedColumnFormula>
    </tableColumn>
    <tableColumn id="2" name="AMOUNT" totalsRowFunction="sum" dataDxfId="698" totalsRowDxfId="697" dataCellStyle="Comma">
      <calculatedColumnFormula>LARGE(OpExpFeb[TOP 5 AMOUNT],1)</calculatedColumnFormula>
    </tableColumn>
    <tableColumn id="3" name="% OF EXPENSES" totalsRowFunction="sum" dataDxfId="696" totalsRowDxfId="695" dataCellStyle="Percent">
      <calculatedColumnFormula>Top5ExpFeb[[#This Row],[AMOUNT]]/$D$6</calculatedColumnFormula>
    </tableColumn>
    <tableColumn id="4" name="15% REDUCTION" totalsRowFunction="sum" dataDxfId="694" totalsRowDxfId="693" dataCellStyle="Comma">
      <calculatedColumnFormula>Top5ExpFeb[[#This Row],[AMOUNT]]*0.15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FebIncome" displayName="FebIncome" ref="B5:F11" totalsRowCount="1" headerRowDxfId="692" dataDxfId="691" totalsRowDxfId="690">
  <autoFilter ref="B5:F10"/>
  <tableColumns count="5">
    <tableColumn id="1" name="INCOME" totalsRowLabel="Total Income" dataDxfId="92" totalsRowDxfId="689"/>
    <tableColumn id="2" name="ESTIMATED" totalsRowFunction="sum" dataDxfId="91" totalsRowDxfId="688" dataCellStyle="Comma"/>
    <tableColumn id="3" name="ACTUAL" totalsRowFunction="sum" dataDxfId="90" totalsRowDxfId="687" dataCellStyle="Comma"/>
    <tableColumn id="4" name="TOP 5 AMOUNT" dataDxfId="686" totalsRowDxfId="685" dataCellStyle="Comma">
      <calculatedColumnFormula>FebIncome[[#This Row],[ACTUAL]]+(10^-6)*ROW(FebIncome[[#This Row],[ACTUAL]])</calculatedColumnFormula>
    </tableColumn>
    <tableColumn id="5" name="DIFFERENCE" totalsRowFunction="sum" dataDxfId="684" totalsRowDxfId="683" dataCellStyle="Comma">
      <calculatedColumnFormula>FebIncome[[#This Row],[ACTUAL]]-FebIncome[[#This Row],[ESTIMATED]]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PersonnelTableFeb" displayName="PersonnelTableFeb" ref="B13:F18" totalsRowCount="1" headerRowDxfId="682" dataDxfId="680" headerRowBorderDxfId="681" tableBorderDxfId="679" totalsRowBorderDxfId="678">
  <autoFilter ref="B13:F17"/>
  <tableColumns count="5">
    <tableColumn id="1" name="PERSONNEL EXPENSES" totalsRowLabel="Total Personnel Expenses" dataDxfId="89" totalsRowDxfId="677"/>
    <tableColumn id="2" name="ESTIMATED" totalsRowFunction="sum" dataDxfId="88" totalsRowDxfId="676" dataCellStyle="Comma"/>
    <tableColumn id="3" name="ACTUAL" totalsRowFunction="sum" dataDxfId="87" totalsRowDxfId="675" dataCellStyle="Comma"/>
    <tableColumn id="4" name="TOP 5 AMOUNT" dataDxfId="674" totalsRowDxfId="673" dataCellStyle="Comma">
      <calculatedColumnFormula>PersonnelTableFeb[[#This Row],[ACTUAL]]+(10^-6)*ROW(PersonnelTableFeb[[#This Row],[ACTUAL]])</calculatedColumnFormula>
    </tableColumn>
    <tableColumn id="5" name="DIFFERENCE" totalsRowFunction="sum" dataDxfId="672" totalsRowDxfId="671" dataCellStyle="Comma">
      <calculatedColumnFormula>PersonnelTableFeb[[#This Row],[ESTIMATED]]-PersonnelTableFeb[[#This Row],[ACTUAL]]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OpExpFeb" displayName="OpExpFeb" ref="B20:F49" totalsRowCount="1" headerRowDxfId="670" dataDxfId="669">
  <autoFilter ref="B20:F48"/>
  <sortState ref="B21:F48">
    <sortCondition descending="1" ref="D20:D48"/>
  </sortState>
  <tableColumns count="5">
    <tableColumn id="1" name="OPERATING EXPENSES" totalsRowLabel="Total Operating Expenses" dataDxfId="86" totalsRowDxfId="668"/>
    <tableColumn id="2" name="ESTIMATED" totalsRowFunction="sum" dataDxfId="85" totalsRowDxfId="667" dataCellStyle="Comma"/>
    <tableColumn id="3" name="ACTUAL" totalsRowFunction="sum" dataDxfId="84" totalsRowDxfId="666" dataCellStyle="Comma"/>
    <tableColumn id="4" name="TOP 5 AMOUNT" dataDxfId="665" totalsRowDxfId="664" dataCellStyle="Comma">
      <calculatedColumnFormula>OpExpFeb[[#This Row],[ACTUAL]]+(10^-6)*ROW(OpExpFeb[[#This Row],[ACTUAL]])</calculatedColumnFormula>
    </tableColumn>
    <tableColumn id="5" name="DIFFERENCE" totalsRowFunction="sum" dataDxfId="663" totalsRowDxfId="662" dataCellStyle="Comma">
      <calculatedColumnFormula>OpExpFeb[[#This Row],[ESTIMATED]]-OpExpFeb[[#This Row],[ACTUAL]]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otalsTableMarch" displayName="TotalsTableMarch" ref="B4:E7" totalsRowCount="1" headerRowDxfId="661" dataDxfId="659" headerRowBorderDxfId="660" tableBorderDxfId="658" totalsRowBorderDxfId="657">
  <autoFilter ref="B4:E6"/>
  <tableColumns count="4">
    <tableColumn id="1" name="BUDGET TOTALS" totalsRowLabel="Balance (Income minus Expenses)" dataDxfId="656" totalsRowDxfId="655"/>
    <tableColumn id="2" name="ESTIMATED" totalsRowFunction="custom" dataDxfId="654" totalsRowDxfId="653" dataCellStyle="Comma">
      <calculatedColumnFormula>OpExpJan[[#Totals],[ESTIMATED]]</calculatedColumnFormula>
      <totalsRowFormula>C5-C6</totalsRowFormula>
    </tableColumn>
    <tableColumn id="3" name="ACTUAL" totalsRowFunction="custom" dataDxfId="652" totalsRowDxfId="651" dataCellStyle="Comma">
      <totalsRowFormula>D5-D6</totalsRowFormula>
    </tableColumn>
    <tableColumn id="4" name="DIFFERENCE " totalsRowFunction="custom" dataDxfId="650" totalsRowDxfId="649" dataCellStyle="Comma">
      <calculatedColumnFormula>TotalsTableMarch[[#This Row],[ACTUAL]]-TotalsTableMarch[[#This Row],[ESTIMATED]]</calculatedColumnFormula>
      <totalsRowFormula>TotalsTableMarch[[#Totals],[ACTUAL]]-TotalsTableMarch[[#Totals],[ESTIMATED]]</totalsRowFormula>
    </tableColumn>
  </tableColumns>
  <tableStyleInfo name="TableStyleLight14" showFirstColumn="0" showLastColumn="0" showRowStripes="0" showColumnStripes="0"/>
</table>
</file>

<file path=xl/tables/table17.xml><?xml version="1.0" encoding="utf-8"?>
<table xmlns="http://schemas.openxmlformats.org/spreadsheetml/2006/main" id="17" name="Top5ExpMarch" displayName="Top5ExpMarch" ref="B32:E38" totalsRowCount="1" headerRowDxfId="648" dataDxfId="647" totalsRowDxfId="646">
  <autoFilter ref="B32:E37"/>
  <tableColumns count="4">
    <tableColumn id="1" name="EXPENSE" totalsRowLabel="Total" dataDxfId="645" totalsRowDxfId="644">
      <calculatedColumnFormula>INDEX(OpExpMarch[],(MATCH(Top5ExpMarch[[#This Row],[AMOUNT]],OpExpMarch[TOP 5 AMOUNT],0)),1)</calculatedColumnFormula>
    </tableColumn>
    <tableColumn id="2" name="AMOUNT" totalsRowFunction="sum" dataDxfId="643" totalsRowDxfId="642" dataCellStyle="Comma">
      <calculatedColumnFormula>LARGE(OpExpMarch[TOP 5 AMOUNT],1)</calculatedColumnFormula>
    </tableColumn>
    <tableColumn id="3" name="% OF EXPENSES" totalsRowFunction="sum" dataDxfId="641" totalsRowDxfId="640" dataCellStyle="Percent">
      <calculatedColumnFormula>Top5ExpMarch[[#This Row],[AMOUNT]]/$D$6</calculatedColumnFormula>
    </tableColumn>
    <tableColumn id="4" name="15% REDUCTION" totalsRowFunction="sum" dataDxfId="639" totalsRowDxfId="638" dataCellStyle="Comma">
      <calculatedColumnFormula>Top5ExpMarch[[#This Row],[AMOUNT]]*0.15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MarchIncome" displayName="MarchIncome" ref="B5:F11" totalsRowCount="1" headerRowDxfId="637" dataDxfId="636" totalsRowDxfId="635">
  <autoFilter ref="B5:F10"/>
  <tableColumns count="5">
    <tableColumn id="1" name="INCOME" totalsRowLabel="Total Income" dataDxfId="83" totalsRowDxfId="634"/>
    <tableColumn id="2" name="ESTIMATED" totalsRowFunction="sum" dataDxfId="82" totalsRowDxfId="633" dataCellStyle="Comma"/>
    <tableColumn id="3" name="ACTUAL" totalsRowFunction="sum" dataDxfId="81" totalsRowDxfId="632" dataCellStyle="Comma"/>
    <tableColumn id="4" name="TOP 5 AMOUNT" dataDxfId="631" totalsRowDxfId="630" dataCellStyle="Comma">
      <calculatedColumnFormula>MarchIncome[[#This Row],[ACTUAL]]+(10^-6)*ROW(MarchIncome[[#This Row],[ACTUAL]])</calculatedColumnFormula>
    </tableColumn>
    <tableColumn id="5" name="DIFFERENCE" totalsRowFunction="sum" dataDxfId="629" totalsRowDxfId="628" dataCellStyle="Comma">
      <calculatedColumnFormula>MarchIncome[[#This Row],[ACTUAL]]-MarchIncome[[#This Row],[ESTIMATED]]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PersonnelTableMarch" displayName="PersonnelTableMarch" ref="B13:F18" totalsRowCount="1" headerRowDxfId="627" dataDxfId="625" headerRowBorderDxfId="626" tableBorderDxfId="624" totalsRowBorderDxfId="623">
  <autoFilter ref="B13:F17"/>
  <tableColumns count="5">
    <tableColumn id="1" name="PERSONNEL EXPENSES" totalsRowLabel="Total Personnel Expenses" dataDxfId="80" totalsRowDxfId="622"/>
    <tableColumn id="2" name="ESTIMATED" totalsRowFunction="sum" dataDxfId="79" totalsRowDxfId="621" dataCellStyle="Comma"/>
    <tableColumn id="3" name="ACTUAL" totalsRowFunction="sum" dataDxfId="78" totalsRowDxfId="620" dataCellStyle="Comma"/>
    <tableColumn id="4" name="TOP 5 AMOUNT" dataDxfId="619" totalsRowDxfId="618" dataCellStyle="Comma">
      <calculatedColumnFormula>PersonnelTableMarch[[#This Row],[ACTUAL]]+(10^-6)*ROW(PersonnelTableMarch[[#This Row],[ACTUAL]])</calculatedColumnFormula>
    </tableColumn>
    <tableColumn id="5" name="DIFFERENCE" totalsRowFunction="sum" dataDxfId="617" totalsRowDxfId="616" dataCellStyle="Comma">
      <calculatedColumnFormula>PersonnelTableMarch[[#This Row],[ESTIMATED]]-PersonnelTableMarch[[#This Row],[ACTUAL]]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OpExpMarch" displayName="OpExpMarch" ref="B20:F49" totalsRowCount="1" headerRowDxfId="615" dataDxfId="614">
  <autoFilter ref="B20:F48"/>
  <sortState ref="B21:F48">
    <sortCondition descending="1" ref="D20:D48"/>
  </sortState>
  <tableColumns count="5">
    <tableColumn id="1" name="OPERATING EXPENSES" totalsRowLabel="Total Operating Expenses" dataDxfId="613" totalsRowDxfId="612"/>
    <tableColumn id="2" name="ESTIMATED" totalsRowFunction="sum" dataDxfId="611" totalsRowDxfId="610" dataCellStyle="Comma"/>
    <tableColumn id="3" name="ACTUAL" totalsRowFunction="sum" dataDxfId="609" totalsRowDxfId="608" dataCellStyle="Comma"/>
    <tableColumn id="4" name="TOP 5 AMOUNT" dataDxfId="607" totalsRowDxfId="606" dataCellStyle="Comma">
      <calculatedColumnFormula>OpExpMarch[[#This Row],[ACTUAL]]+(10^-6)*ROW(OpExpMarch[[#This Row],[ACTUAL]])</calculatedColumnFormula>
    </tableColumn>
    <tableColumn id="5" name="DIFFERENCE" totalsRowFunction="sum" dataDxfId="605" totalsRowDxfId="604" dataCellStyle="Comma">
      <calculatedColumnFormula>OpExpMarch[[#This Row],[ESTIMATED]]-OpExpMarch[[#This Row],[ACTUAL]]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otalsTableApril" displayName="TotalsTableApril" ref="B4:E7" totalsRowCount="1" headerRowDxfId="603" dataDxfId="601" headerRowBorderDxfId="602" tableBorderDxfId="600" totalsRowBorderDxfId="599">
  <autoFilter ref="B4:E6"/>
  <tableColumns count="4">
    <tableColumn id="1" name="BUDGET TOTALS" totalsRowLabel="Balance (Income minus Expenses)" dataDxfId="598" totalsRowDxfId="597"/>
    <tableColumn id="2" name="ESTIMATED" totalsRowFunction="custom" dataDxfId="596" totalsRowDxfId="595" dataCellStyle="Comma">
      <calculatedColumnFormula>OpExpJan[[#Totals],[ESTIMATED]]</calculatedColumnFormula>
      <totalsRowFormula>C5-C6</totalsRowFormula>
    </tableColumn>
    <tableColumn id="3" name="ACTUAL" totalsRowFunction="custom" dataDxfId="594" totalsRowDxfId="593" dataCellStyle="Comma">
      <totalsRowFormula>D5-D6</totalsRowFormula>
    </tableColumn>
    <tableColumn id="4" name="DIFFERENCE " totalsRowFunction="custom" dataDxfId="592" totalsRowDxfId="591" dataCellStyle="Comma">
      <calculatedColumnFormula>TotalsTableApril[[#This Row],[ACTUAL]]-TotalsTableApril[[#This Row],[ESTIMATED]]</calculatedColumnFormula>
      <totalsRowFormula>TotalsTableApril[[#Totals],[ACTUAL]]-TotalsTableApril[[#Totals],[ESTIMATED]]</totalsRowFormula>
    </tableColumn>
  </tableColumns>
  <tableStyleInfo name="TableStyleLight14" showFirstColumn="0" showLastColumn="0" showRowStripes="0" showColumnStripes="0"/>
</table>
</file>

<file path=xl/tables/table22.xml><?xml version="1.0" encoding="utf-8"?>
<table xmlns="http://schemas.openxmlformats.org/spreadsheetml/2006/main" id="22" name="Top5ExpApril" displayName="Top5ExpApril" ref="B32:E38" totalsRowCount="1" headerRowDxfId="590" dataDxfId="589" totalsRowDxfId="588">
  <autoFilter ref="B32:E37"/>
  <tableColumns count="4">
    <tableColumn id="1" name="EXPENSE" totalsRowLabel="Total" dataDxfId="587" totalsRowDxfId="586">
      <calculatedColumnFormula>INDEX(OpExpApril[],(MATCH(Top5ExpApril[[#This Row],[AMOUNT]],OpExpApril[TOP 5 AMOUNT],0)),1)</calculatedColumnFormula>
    </tableColumn>
    <tableColumn id="2" name="AMOUNT" totalsRowFunction="sum" dataDxfId="585" totalsRowDxfId="584" dataCellStyle="Comma">
      <calculatedColumnFormula>LARGE(OpExpApril[TOP 5 AMOUNT],1)</calculatedColumnFormula>
    </tableColumn>
    <tableColumn id="3" name="% OF EXPENSES" totalsRowFunction="sum" dataDxfId="583" totalsRowDxfId="582" dataCellStyle="Percent">
      <calculatedColumnFormula>Top5ExpApril[[#This Row],[AMOUNT]]/$D$6</calculatedColumnFormula>
    </tableColumn>
    <tableColumn id="4" name="15% REDUCTION" totalsRowFunction="sum" dataDxfId="581" totalsRowDxfId="580" dataCellStyle="Comma">
      <calculatedColumnFormula>Top5ExpApril[[#This Row],[AMOUNT]]*0.15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AprilIncome" displayName="AprilIncome" ref="B5:F11" totalsRowCount="1" headerRowDxfId="579" dataDxfId="578" totalsRowDxfId="577">
  <autoFilter ref="B5:F10"/>
  <tableColumns count="5">
    <tableColumn id="1" name="INCOME" totalsRowLabel="Total Income" dataDxfId="77" totalsRowDxfId="576"/>
    <tableColumn id="2" name="ESTIMATED" totalsRowFunction="sum" dataDxfId="76" totalsRowDxfId="575" dataCellStyle="Comma"/>
    <tableColumn id="3" name="ACTUAL" totalsRowFunction="sum" dataDxfId="75" totalsRowDxfId="574" dataCellStyle="Comma"/>
    <tableColumn id="4" name="TOP 5 AMOUNT" dataDxfId="573" totalsRowDxfId="572" dataCellStyle="Comma">
      <calculatedColumnFormula>AprilIncome[[#This Row],[ACTUAL]]+(10^-6)*ROW(AprilIncome[[#This Row],[ACTUAL]])</calculatedColumnFormula>
    </tableColumn>
    <tableColumn id="5" name="DIFFERENCE" totalsRowFunction="sum" dataDxfId="571" totalsRowDxfId="570" dataCellStyle="Comma">
      <calculatedColumnFormula>AprilIncome[[#This Row],[ACTUAL]]-AprilIncome[[#This Row],[ESTIMATED]]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PersonnelTableApril" displayName="PersonnelTableApril" ref="B13:F18" totalsRowCount="1" headerRowDxfId="569" dataDxfId="567" headerRowBorderDxfId="568" tableBorderDxfId="566" totalsRowBorderDxfId="565">
  <autoFilter ref="B13:F17"/>
  <tableColumns count="5">
    <tableColumn id="1" name="PERSONNEL EXPENSES" totalsRowLabel="Total Personnel Expenses" dataDxfId="74" totalsRowDxfId="564"/>
    <tableColumn id="2" name="ESTIMATED" totalsRowFunction="sum" dataDxfId="73" totalsRowDxfId="563" dataCellStyle="Comma"/>
    <tableColumn id="3" name="ACTUAL" totalsRowFunction="sum" dataDxfId="72" totalsRowDxfId="562" dataCellStyle="Comma"/>
    <tableColumn id="4" name="TOP 5 AMOUNT" dataDxfId="561" totalsRowDxfId="560" dataCellStyle="Comma">
      <calculatedColumnFormula>PersonnelTableApril[[#This Row],[ACTUAL]]+(10^-6)*ROW(PersonnelTableApril[[#This Row],[ACTUAL]])</calculatedColumnFormula>
    </tableColumn>
    <tableColumn id="5" name="DIFFERENCE" totalsRowFunction="sum" dataDxfId="559" totalsRowDxfId="558" dataCellStyle="Comma">
      <calculatedColumnFormula>PersonnelTableApril[[#This Row],[ESTIMATED]]-PersonnelTableApril[[#This Row],[ACTUAL]]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OpExpApril" displayName="OpExpApril" ref="B20:F49" totalsRowCount="1" headerRowDxfId="557" dataDxfId="556">
  <autoFilter ref="B20:F48"/>
  <sortState ref="B21:F48">
    <sortCondition descending="1" ref="D20:D48"/>
  </sortState>
  <tableColumns count="5">
    <tableColumn id="1" name="OPERATING EXPENSES" totalsRowLabel="Total Operating Expenses" dataDxfId="71" totalsRowDxfId="555"/>
    <tableColumn id="2" name="ESTIMATED" totalsRowFunction="sum" dataDxfId="70" totalsRowDxfId="554" dataCellStyle="Comma"/>
    <tableColumn id="3" name="ACTUAL" totalsRowFunction="sum" dataDxfId="69" totalsRowDxfId="553" dataCellStyle="Comma"/>
    <tableColumn id="4" name="TOP 5 AMOUNT" dataDxfId="552" totalsRowDxfId="551" dataCellStyle="Comma">
      <calculatedColumnFormula>OpExpApril[[#This Row],[ACTUAL]]+(10^-6)*ROW(OpExpApril[[#This Row],[ACTUAL]])</calculatedColumnFormula>
    </tableColumn>
    <tableColumn id="5" name="DIFFERENCE" totalsRowFunction="sum" dataDxfId="550" totalsRowDxfId="549" dataCellStyle="Comma">
      <calculatedColumnFormula>OpExpApril[[#This Row],[ESTIMATED]]-OpExpApril[[#This Row],[ACTUAL]]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TotalsTableMay" displayName="TotalsTableMay" ref="B4:E7" totalsRowCount="1" headerRowDxfId="548" dataDxfId="546" headerRowBorderDxfId="547" tableBorderDxfId="545" totalsRowBorderDxfId="544">
  <autoFilter ref="B4:E6"/>
  <tableColumns count="4">
    <tableColumn id="1" name="BUDGET TOTALS" totalsRowLabel="Balance (Income minus Expenses)" dataDxfId="543" totalsRowDxfId="542"/>
    <tableColumn id="2" name="ESTIMATED" totalsRowFunction="custom" dataDxfId="541" totalsRowDxfId="540" dataCellStyle="Comma">
      <calculatedColumnFormula>OpExpJan[[#Totals],[ESTIMATED]]</calculatedColumnFormula>
      <totalsRowFormula>C5-C6</totalsRowFormula>
    </tableColumn>
    <tableColumn id="3" name="ACTUAL" totalsRowFunction="custom" dataDxfId="539" totalsRowDxfId="538" dataCellStyle="Comma">
      <totalsRowFormula>D5-D6</totalsRowFormula>
    </tableColumn>
    <tableColumn id="4" name="DIFFERENCE " totalsRowFunction="custom" dataDxfId="537" totalsRowDxfId="536" dataCellStyle="Comma">
      <calculatedColumnFormula>TotalsTableMay[[#This Row],[ACTUAL]]-TotalsTableMay[[#This Row],[ESTIMATED]]</calculatedColumnFormula>
      <totalsRowFormula>TotalsTableMay[[#Totals],[ACTUAL]]-TotalsTableMay[[#Totals],[ESTIMATED]]</totalsRowFormula>
    </tableColumn>
  </tableColumns>
  <tableStyleInfo name="TableStyleLight14" showFirstColumn="0" showLastColumn="0" showRowStripes="0" showColumnStripes="0"/>
</table>
</file>

<file path=xl/tables/table27.xml><?xml version="1.0" encoding="utf-8"?>
<table xmlns="http://schemas.openxmlformats.org/spreadsheetml/2006/main" id="27" name="Top5ExpMay" displayName="Top5ExpMay" ref="B32:E38" totalsRowCount="1" headerRowDxfId="535" dataDxfId="534" totalsRowDxfId="533">
  <autoFilter ref="B32:E37"/>
  <tableColumns count="4">
    <tableColumn id="1" name="EXPENSE" totalsRowLabel="Total" dataDxfId="532" totalsRowDxfId="531">
      <calculatedColumnFormula>INDEX(OpExpMay[],(MATCH(Top5ExpMay[[#This Row],[AMOUNT]],OpExpMay[TOP 5 AMOUNT],0)),1)</calculatedColumnFormula>
    </tableColumn>
    <tableColumn id="2" name="AMOUNT" totalsRowFunction="sum" dataDxfId="530" totalsRowDxfId="529" dataCellStyle="Comma">
      <calculatedColumnFormula>LARGE(OpExpMay[TOP 5 AMOUNT],1)</calculatedColumnFormula>
    </tableColumn>
    <tableColumn id="3" name="% OF EXPENSES" totalsRowFunction="sum" dataDxfId="528" totalsRowDxfId="527" dataCellStyle="Percent">
      <calculatedColumnFormula>Top5ExpMay[[#This Row],[AMOUNT]]/$D$6</calculatedColumnFormula>
    </tableColumn>
    <tableColumn id="4" name="15% REDUCTION" totalsRowFunction="sum" dataDxfId="526" totalsRowDxfId="525" dataCellStyle="Comma">
      <calculatedColumnFormula>Top5ExpMay[[#This Row],[AMOUNT]]*0.15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MayIncome" displayName="MayIncome" ref="B5:F11" totalsRowCount="1" headerRowDxfId="524" dataDxfId="523" totalsRowDxfId="522">
  <autoFilter ref="B5:F10"/>
  <tableColumns count="5">
    <tableColumn id="1" name="INCOME" totalsRowLabel="Total Income" dataDxfId="68" totalsRowDxfId="521"/>
    <tableColumn id="2" name="ESTIMATED" totalsRowFunction="sum" dataDxfId="67" totalsRowDxfId="520" dataCellStyle="Comma"/>
    <tableColumn id="3" name="ACTUAL" totalsRowFunction="sum" dataDxfId="66" totalsRowDxfId="519" dataCellStyle="Comma"/>
    <tableColumn id="4" name="TOP 5 AMOUNT" dataDxfId="518" totalsRowDxfId="517" dataCellStyle="Comma">
      <calculatedColumnFormula>MayIncome[[#This Row],[ACTUAL]]+(10^-6)*ROW(MayIncome[[#This Row],[ACTUAL]])</calculatedColumnFormula>
    </tableColumn>
    <tableColumn id="5" name="DIFFERENCE" totalsRowFunction="sum" dataDxfId="516" totalsRowDxfId="515" dataCellStyle="Comma">
      <calculatedColumnFormula>MayIncome[[#This Row],[ACTUAL]]-MayIncome[[#This Row],[ESTIMATED]]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PersonnelTableMay" displayName="PersonnelTableMay" ref="B13:F18" totalsRowCount="1" headerRowDxfId="514" dataDxfId="512" headerRowBorderDxfId="513" tableBorderDxfId="511" totalsRowBorderDxfId="510">
  <autoFilter ref="B13:F17"/>
  <tableColumns count="5">
    <tableColumn id="1" name="PERSONNEL EXPENSES" totalsRowLabel="Total Personnel Expenses" dataDxfId="65" totalsRowDxfId="509"/>
    <tableColumn id="2" name="ESTIMATED" totalsRowFunction="sum" dataDxfId="64" totalsRowDxfId="508" dataCellStyle="Comma"/>
    <tableColumn id="3" name="ACTUAL" totalsRowFunction="sum" dataDxfId="63" totalsRowDxfId="507" dataCellStyle="Comma"/>
    <tableColumn id="4" name="TOP 5 AMOUNT" dataDxfId="506" totalsRowDxfId="505" dataCellStyle="Comma">
      <calculatedColumnFormula>PersonnelTableMay[[#This Row],[ACTUAL]]+(10^-6)*ROW(PersonnelTableMay[[#This Row],[ACTUAL]])</calculatedColumnFormula>
    </tableColumn>
    <tableColumn id="5" name="DIFFERENCE" totalsRowFunction="sum" dataDxfId="504" totalsRowDxfId="503" dataCellStyle="Comma">
      <calculatedColumnFormula>PersonnelTableMay[[#This Row],[ESTIMATED]]-PersonnelTableMay[[#This Row],[ACTUAL]]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OpExpMay" displayName="OpExpMay" ref="B20:F49" totalsRowCount="1" headerRowDxfId="502" dataDxfId="501">
  <autoFilter ref="B20:F48"/>
  <sortState ref="B21:F48">
    <sortCondition descending="1" ref="D20:D48"/>
  </sortState>
  <tableColumns count="5">
    <tableColumn id="1" name="OPERATING EXPENSES" totalsRowLabel="Total Operating Expenses" dataDxfId="500" totalsRowDxfId="499"/>
    <tableColumn id="2" name="ESTIMATED" totalsRowFunction="sum" dataDxfId="498" totalsRowDxfId="497" dataCellStyle="Comma"/>
    <tableColumn id="3" name="ACTUAL" totalsRowFunction="sum" dataDxfId="496" totalsRowDxfId="495" dataCellStyle="Comma"/>
    <tableColumn id="4" name="TOP 5 AMOUNT" dataDxfId="494" totalsRowDxfId="493" dataCellStyle="Comma">
      <calculatedColumnFormula>OpExpMay[[#This Row],[ACTUAL]]+(10^-6)*ROW(OpExpMay[[#This Row],[ACTUAL]])</calculatedColumnFormula>
    </tableColumn>
    <tableColumn id="5" name="DIFFERENCE" totalsRowFunction="sum" dataDxfId="492" totalsRowDxfId="491" dataCellStyle="Comma">
      <calculatedColumnFormula>OpExpMay[[#This Row],[ESTIMATED]]-OpExpMay[[#This Row],[ACTUAL]]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TotalsTableJune" displayName="TotalsTableJune" ref="B4:E7" totalsRowCount="1" headerRowDxfId="490" dataDxfId="488" headerRowBorderDxfId="489" tableBorderDxfId="487" totalsRowBorderDxfId="486">
  <autoFilter ref="B4:E6"/>
  <tableColumns count="4">
    <tableColumn id="1" name="BUDGET TOTALS" totalsRowLabel="Balance (Income minus Expenses)" dataDxfId="485" totalsRowDxfId="484"/>
    <tableColumn id="2" name="ESTIMATED" totalsRowFunction="custom" dataDxfId="483" totalsRowDxfId="482" dataCellStyle="Comma">
      <calculatedColumnFormula>OpExpJan[[#Totals],[ESTIMATED]]</calculatedColumnFormula>
      <totalsRowFormula>C5-C6</totalsRowFormula>
    </tableColumn>
    <tableColumn id="3" name="ACTUAL" totalsRowFunction="custom" dataDxfId="481" totalsRowDxfId="480" dataCellStyle="Comma">
      <totalsRowFormula>D5-D6</totalsRowFormula>
    </tableColumn>
    <tableColumn id="4" name="DIFFERENCE " totalsRowFunction="custom" dataDxfId="479" totalsRowDxfId="478" dataCellStyle="Comma">
      <calculatedColumnFormula>TotalsTableJune[[#This Row],[ACTUAL]]-TotalsTableJune[[#This Row],[ESTIMATED]]</calculatedColumnFormula>
      <totalsRowFormula>TotalsTableJune[[#Totals],[ACTUAL]]-TotalsTableJune[[#Totals],[ESTIMATED]]</totalsRowFormula>
    </tableColumn>
  </tableColumns>
  <tableStyleInfo name="TableStyleLight14" showFirstColumn="0" showLastColumn="0" showRowStripes="0" showColumnStripes="0"/>
</table>
</file>

<file path=xl/tables/table32.xml><?xml version="1.0" encoding="utf-8"?>
<table xmlns="http://schemas.openxmlformats.org/spreadsheetml/2006/main" id="32" name="Top5ExpJune" displayName="Top5ExpJune" ref="B32:E38" totalsRowCount="1" headerRowDxfId="477" dataDxfId="476" totalsRowDxfId="475">
  <autoFilter ref="B32:E37"/>
  <tableColumns count="4">
    <tableColumn id="1" name="EXPENSE" totalsRowLabel="Total" dataDxfId="474" totalsRowDxfId="473">
      <calculatedColumnFormula>INDEX(OpExpJune[],(MATCH(Top5ExpJune[[#This Row],[AMOUNT]],OpExpJune[TOP 5 AMOUNT],0)),1)</calculatedColumnFormula>
    </tableColumn>
    <tableColumn id="2" name="AMOUNT" totalsRowFunction="sum" dataDxfId="472" totalsRowDxfId="471" dataCellStyle="Comma">
      <calculatedColumnFormula>LARGE(OpExpJune[TOP 5 AMOUNT],1)</calculatedColumnFormula>
    </tableColumn>
    <tableColumn id="3" name="% OF EXPENSES" totalsRowFunction="sum" dataDxfId="470" totalsRowDxfId="469" dataCellStyle="Percent">
      <calculatedColumnFormula>Top5ExpJune[[#This Row],[AMOUNT]]/$D$6</calculatedColumnFormula>
    </tableColumn>
    <tableColumn id="4" name="15% REDUCTION" totalsRowFunction="sum" dataDxfId="468" totalsRowDxfId="467" dataCellStyle="Comma">
      <calculatedColumnFormula>Top5ExpJune[[#This Row],[AMOUNT]]*0.15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3" name="JuneIncome" displayName="JuneIncome" ref="B5:F11" totalsRowCount="1" headerRowDxfId="466" dataDxfId="465" totalsRowDxfId="464">
  <autoFilter ref="B5:F10"/>
  <tableColumns count="5">
    <tableColumn id="1" name="INCOME" totalsRowLabel="Total Income" dataDxfId="62" totalsRowDxfId="463"/>
    <tableColumn id="2" name="ESTIMATED" totalsRowFunction="sum" dataDxfId="61" totalsRowDxfId="462" dataCellStyle="Comma"/>
    <tableColumn id="3" name="ACTUAL" totalsRowFunction="sum" dataDxfId="60" totalsRowDxfId="461" dataCellStyle="Comma"/>
    <tableColumn id="4" name="TOP 5 AMOUNT" dataDxfId="460" totalsRowDxfId="459" dataCellStyle="Comma">
      <calculatedColumnFormula>JuneIncome[[#This Row],[ACTUAL]]+(10^-6)*ROW(JuneIncome[[#This Row],[ACTUAL]])</calculatedColumnFormula>
    </tableColumn>
    <tableColumn id="5" name="DIFFERENCE" totalsRowFunction="sum" dataDxfId="458" totalsRowDxfId="457" dataCellStyle="Comma">
      <calculatedColumnFormula>JuneIncome[[#This Row],[ACTUAL]]-JuneIncome[[#This Row],[ESTIMATED]]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PersonnelTableJune" displayName="PersonnelTableJune" ref="B13:F18" totalsRowCount="1" headerRowDxfId="456" dataDxfId="454" headerRowBorderDxfId="455" tableBorderDxfId="453" totalsRowBorderDxfId="452">
  <autoFilter ref="B13:F17"/>
  <tableColumns count="5">
    <tableColumn id="1" name="PERSONNEL EXPENSES" totalsRowLabel="Total Personnel Expenses" dataDxfId="59" totalsRowDxfId="451"/>
    <tableColumn id="2" name="ESTIMATED" totalsRowFunction="sum" dataDxfId="58" totalsRowDxfId="450" dataCellStyle="Comma"/>
    <tableColumn id="3" name="ACTUAL" totalsRowFunction="sum" dataDxfId="57" totalsRowDxfId="449" dataCellStyle="Comma"/>
    <tableColumn id="4" name="TOP 5 AMOUNT" dataDxfId="448" totalsRowDxfId="447" dataCellStyle="Comma">
      <calculatedColumnFormula>PersonnelTableJune[[#This Row],[ACTUAL]]+(10^-6)*ROW(PersonnelTableJune[[#This Row],[ACTUAL]])</calculatedColumnFormula>
    </tableColumn>
    <tableColumn id="5" name="DIFFERENCE" totalsRowFunction="sum" dataDxfId="446" totalsRowDxfId="445" dataCellStyle="Comma">
      <calculatedColumnFormula>PersonnelTableJune[[#This Row],[ESTIMATED]]-PersonnelTableJune[[#This Row],[ACTUAL]]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OpExpJune" displayName="OpExpJune" ref="B20:F49" totalsRowCount="1" headerRowDxfId="444" dataDxfId="443">
  <autoFilter ref="B20:F48"/>
  <sortState ref="B21:F48">
    <sortCondition descending="1" ref="D20:D48"/>
  </sortState>
  <tableColumns count="5">
    <tableColumn id="1" name="OPERATING EXPENSES" totalsRowLabel="Total Operating Expenses" dataDxfId="56" totalsRowDxfId="442"/>
    <tableColumn id="2" name="ESTIMATED" totalsRowFunction="sum" dataDxfId="55" totalsRowDxfId="441" dataCellStyle="Comma"/>
    <tableColumn id="3" name="ACTUAL" totalsRowFunction="sum" dataDxfId="54" totalsRowDxfId="440" dataCellStyle="Comma"/>
    <tableColumn id="4" name="TOP 5 AMOUNT" dataDxfId="439" totalsRowDxfId="438" dataCellStyle="Comma">
      <calculatedColumnFormula>OpExpJune[[#This Row],[ACTUAL]]+(10^-6)*ROW(OpExpJune[[#This Row],[ACTUAL]])</calculatedColumnFormula>
    </tableColumn>
    <tableColumn id="5" name="DIFFERENCE" totalsRowFunction="sum" dataDxfId="437" totalsRowDxfId="436" dataCellStyle="Comma">
      <calculatedColumnFormula>OpExpJune[[#This Row],[ESTIMATED]]-OpExpJune[[#This Row],[ACTUAL]]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6" name="TotalsTableJuly" displayName="TotalsTableJuly" ref="B4:E7" totalsRowCount="1" headerRowDxfId="435" dataDxfId="433" headerRowBorderDxfId="434" tableBorderDxfId="432" totalsRowBorderDxfId="431">
  <autoFilter ref="B4:E6"/>
  <tableColumns count="4">
    <tableColumn id="1" name="BUDGET TOTALS" totalsRowLabel="Balance (Income minus Expenses)" dataDxfId="430" totalsRowDxfId="429"/>
    <tableColumn id="2" name="ESTIMATED" totalsRowFunction="custom" dataDxfId="428" totalsRowDxfId="427" dataCellStyle="Comma">
      <calculatedColumnFormula>OpExpJan[[#Totals],[ESTIMATED]]</calculatedColumnFormula>
      <totalsRowFormula>C5-C6</totalsRowFormula>
    </tableColumn>
    <tableColumn id="3" name="ACTUAL" totalsRowFunction="custom" dataDxfId="426" totalsRowDxfId="425" dataCellStyle="Comma">
      <totalsRowFormula>D5-D6</totalsRowFormula>
    </tableColumn>
    <tableColumn id="4" name="DIFFERENCE " totalsRowFunction="custom" dataDxfId="424" totalsRowDxfId="423" dataCellStyle="Comma">
      <calculatedColumnFormula>TotalsTableJuly[[#This Row],[ACTUAL]]-TotalsTableJuly[[#This Row],[ESTIMATED]]</calculatedColumnFormula>
      <totalsRowFormula>TotalsTableJuly[[#Totals],[ACTUAL]]-TotalsTableJuly[[#Totals],[ESTIMATED]]</totalsRowFormula>
    </tableColumn>
  </tableColumns>
  <tableStyleInfo name="TableStyleLight14" showFirstColumn="0" showLastColumn="0" showRowStripes="0" showColumnStripes="0"/>
</table>
</file>

<file path=xl/tables/table37.xml><?xml version="1.0" encoding="utf-8"?>
<table xmlns="http://schemas.openxmlformats.org/spreadsheetml/2006/main" id="37" name="Top5ExpJuly" displayName="Top5ExpJuly" ref="B32:E38" totalsRowCount="1" headerRowDxfId="422" dataDxfId="421" totalsRowDxfId="420">
  <autoFilter ref="B32:E37"/>
  <tableColumns count="4">
    <tableColumn id="1" name="EXPENSE" totalsRowLabel="Total" dataDxfId="419" totalsRowDxfId="418">
      <calculatedColumnFormula>INDEX(OpExpJuly[],(MATCH(Top5ExpJuly[[#This Row],[AMOUNT]],OpExpJuly[TOP 5 AMOUNT],0)),1)</calculatedColumnFormula>
    </tableColumn>
    <tableColumn id="2" name="AMOUNT" totalsRowFunction="sum" dataDxfId="417" totalsRowDxfId="416" dataCellStyle="Comma">
      <calculatedColumnFormula>LARGE(OpExpJuly[TOP 5 AMOUNT],1)</calculatedColumnFormula>
    </tableColumn>
    <tableColumn id="3" name="% OF EXPENSES" totalsRowFunction="sum" dataDxfId="415" totalsRowDxfId="414" dataCellStyle="Percent">
      <calculatedColumnFormula>Top5ExpJuly[[#This Row],[AMOUNT]]/$D$6</calculatedColumnFormula>
    </tableColumn>
    <tableColumn id="4" name="15% REDUCTION" totalsRowFunction="sum" dataDxfId="413" totalsRowDxfId="412" dataCellStyle="Comma">
      <calculatedColumnFormula>Top5ExpJuly[[#This Row],[AMOUNT]]*0.15</calculatedColumn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8" name="JulyIncome" displayName="JulyIncome" ref="B5:F11" totalsRowCount="1" headerRowDxfId="411" dataDxfId="410" totalsRowDxfId="409">
  <autoFilter ref="B5:F10"/>
  <tableColumns count="5">
    <tableColumn id="1" name="INCOME" totalsRowLabel="Total Income" dataDxfId="53" totalsRowDxfId="408"/>
    <tableColumn id="2" name="ESTIMATED" totalsRowFunction="sum" dataDxfId="52" totalsRowDxfId="407" dataCellStyle="Comma"/>
    <tableColumn id="3" name="ACTUAL" totalsRowFunction="sum" dataDxfId="51" totalsRowDxfId="406" dataCellStyle="Comma"/>
    <tableColumn id="4" name="TOP 5 AMOUNT" dataDxfId="405" totalsRowDxfId="404" dataCellStyle="Comma">
      <calculatedColumnFormula>JulyIncome[[#This Row],[ACTUAL]]+(10^-6)*ROW(JulyIncome[[#This Row],[ACTUAL]])</calculatedColumnFormula>
    </tableColumn>
    <tableColumn id="5" name="DIFFERENCE" totalsRowFunction="sum" dataDxfId="403" totalsRowDxfId="402" dataCellStyle="Comma">
      <calculatedColumnFormula>JulyIncome[[#This Row],[ACTUAL]]-JulyIncome[[#This Row],[ESTIMATED]]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39" name="PersonnelTableJuly" displayName="PersonnelTableJuly" ref="B13:F18" totalsRowCount="1" headerRowDxfId="401" dataDxfId="399" headerRowBorderDxfId="400" tableBorderDxfId="398" totalsRowBorderDxfId="397">
  <autoFilter ref="B13:F17"/>
  <tableColumns count="5">
    <tableColumn id="1" name="PERSONNEL EXPENSES" totalsRowLabel="Total Personnel Expenses" dataDxfId="50" totalsRowDxfId="396"/>
    <tableColumn id="2" name="ESTIMATED" totalsRowFunction="sum" dataDxfId="49" totalsRowDxfId="395" dataCellStyle="Comma"/>
    <tableColumn id="3" name="ACTUAL" totalsRowFunction="sum" dataDxfId="48" totalsRowDxfId="394" dataCellStyle="Comma"/>
    <tableColumn id="4" name="TOP 5 AMOUNT" dataDxfId="393" totalsRowDxfId="392" dataCellStyle="Comma">
      <calculatedColumnFormula>PersonnelTableJuly[[#This Row],[ACTUAL]]+(10^-6)*ROW(PersonnelTableJuly[[#This Row],[ACTUAL]])</calculatedColumnFormula>
    </tableColumn>
    <tableColumn id="5" name="DIFFERENCE" totalsRowFunction="sum" dataDxfId="391" totalsRowDxfId="390" dataCellStyle="Comma">
      <calculatedColumnFormula>PersonnelTableJuly[[#This Row],[ESTIMATED]]-PersonnelTableJuly[[#This Row],[ACTUAL]]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0" name="OpExpJuly" displayName="OpExpJuly" ref="B20:F49" totalsRowCount="1" headerRowDxfId="389" dataDxfId="388">
  <autoFilter ref="B20:F48"/>
  <sortState ref="B21:F48">
    <sortCondition descending="1" ref="D20:D48"/>
  </sortState>
  <tableColumns count="5">
    <tableColumn id="1" name="OPERATING EXPENSES" totalsRowLabel="Total Operating Expenses" dataDxfId="47" totalsRowDxfId="387"/>
    <tableColumn id="2" name="ESTIMATED" totalsRowFunction="sum" dataDxfId="46" totalsRowDxfId="386" dataCellStyle="Comma"/>
    <tableColumn id="3" name="ACTUAL" totalsRowFunction="sum" dataDxfId="45" totalsRowDxfId="385" dataCellStyle="Comma"/>
    <tableColumn id="4" name="TOP 5 AMOUNT" dataDxfId="384" totalsRowDxfId="383" dataCellStyle="Comma">
      <calculatedColumnFormula>OpExpJuly[[#This Row],[ACTUAL]]+(10^-6)*ROW(OpExpJuly[[#This Row],[ACTUAL]])</calculatedColumnFormula>
    </tableColumn>
    <tableColumn id="5" name="DIFFERENCE" totalsRowFunction="sum" dataDxfId="382" totalsRowDxfId="381" dataCellStyle="Comma">
      <calculatedColumnFormula>OpExpJuly[[#This Row],[ESTIMATED]]-OpExpJuly[[#This Row],[ACTUAL]]</calculatedColumnFormula>
    </tableColumn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1" name="TotalsTableAugust" displayName="TotalsTableAugust" ref="B4:E7" totalsRowCount="1" headerRowDxfId="380" dataDxfId="378" headerRowBorderDxfId="379" tableBorderDxfId="377" totalsRowBorderDxfId="376">
  <autoFilter ref="B4:E6"/>
  <tableColumns count="4">
    <tableColumn id="1" name="BUDGET TOTALS" totalsRowLabel="Balance (Income minus Expenses)" dataDxfId="375" totalsRowDxfId="374"/>
    <tableColumn id="2" name="ESTIMATED" totalsRowFunction="custom" dataDxfId="373" totalsRowDxfId="372" dataCellStyle="Comma">
      <calculatedColumnFormula>OpExpJan[[#Totals],[ESTIMATED]]</calculatedColumnFormula>
      <totalsRowFormula>C5-C6</totalsRowFormula>
    </tableColumn>
    <tableColumn id="3" name="ACTUAL" totalsRowFunction="custom" dataDxfId="371" totalsRowDxfId="370" dataCellStyle="Comma">
      <totalsRowFormula>D5-D6</totalsRowFormula>
    </tableColumn>
    <tableColumn id="4" name="DIFFERENCE " totalsRowFunction="custom" dataDxfId="369" totalsRowDxfId="368" dataCellStyle="Comma">
      <calculatedColumnFormula>TotalsTableAugust[[#This Row],[ACTUAL]]-TotalsTableAugust[[#This Row],[ESTIMATED]]</calculatedColumnFormula>
      <totalsRowFormula>TotalsTableAugust[[#Totals],[ACTUAL]]-TotalsTableAugust[[#Totals],[ESTIMATED]]</totalsRowFormula>
    </tableColumn>
  </tableColumns>
  <tableStyleInfo name="TableStyleLight14" showFirstColumn="0" showLastColumn="0" showRowStripes="0" showColumnStripes="0"/>
</table>
</file>

<file path=xl/tables/table42.xml><?xml version="1.0" encoding="utf-8"?>
<table xmlns="http://schemas.openxmlformats.org/spreadsheetml/2006/main" id="42" name="Top5ExpAugust" displayName="Top5ExpAugust" ref="B32:E38" totalsRowCount="1" headerRowDxfId="367" dataDxfId="366" totalsRowDxfId="365">
  <autoFilter ref="B32:E37"/>
  <tableColumns count="4">
    <tableColumn id="1" name="EXPENSE" totalsRowLabel="Total" dataDxfId="364" totalsRowDxfId="363">
      <calculatedColumnFormula>INDEX(OpExpAugust[],(MATCH(Top5ExpAugust[[#This Row],[AMOUNT]],OpExpAugust[TOP 5 AMOUNT],0)),1)</calculatedColumnFormula>
    </tableColumn>
    <tableColumn id="2" name="AMOUNT" totalsRowFunction="sum" dataDxfId="362" totalsRowDxfId="361" dataCellStyle="Comma">
      <calculatedColumnFormula>LARGE(OpExpAugust[TOP 5 AMOUNT],1)</calculatedColumnFormula>
    </tableColumn>
    <tableColumn id="3" name="% OF EXPENSES" totalsRowFunction="sum" dataDxfId="360" totalsRowDxfId="359" dataCellStyle="Percent">
      <calculatedColumnFormula>Top5ExpAugust[[#This Row],[AMOUNT]]/$D$6</calculatedColumnFormula>
    </tableColumn>
    <tableColumn id="4" name="15% REDUCTION" totalsRowFunction="sum" dataDxfId="358" totalsRowDxfId="357" dataCellStyle="Comma">
      <calculatedColumnFormula>Top5ExpAugust[[#This Row],[AMOUNT]]*0.15</calculatedColumnFormula>
    </tableColumn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3" name="AugustIncome" displayName="AugustIncome" ref="B5:F11" totalsRowCount="1" headerRowDxfId="356" dataDxfId="355" totalsRowDxfId="354">
  <autoFilter ref="B5:F10"/>
  <tableColumns count="5">
    <tableColumn id="1" name="INCOME" totalsRowLabel="Total Income" dataDxfId="44" totalsRowDxfId="353"/>
    <tableColumn id="2" name="ESTIMATED" totalsRowFunction="sum" dataDxfId="43" totalsRowDxfId="352" dataCellStyle="Comma"/>
    <tableColumn id="3" name="ACTUAL" totalsRowFunction="sum" dataDxfId="42" totalsRowDxfId="351" dataCellStyle="Comma"/>
    <tableColumn id="4" name="TOP 5 AMOUNT" dataDxfId="350" totalsRowDxfId="349" dataCellStyle="Comma">
      <calculatedColumnFormula>AugustIncome[[#This Row],[ACTUAL]]+(10^-6)*ROW(AugustIncome[[#This Row],[ACTUAL]])</calculatedColumnFormula>
    </tableColumn>
    <tableColumn id="5" name="DIFFERENCE" totalsRowFunction="sum" dataDxfId="348" totalsRowDxfId="347" dataCellStyle="Comma">
      <calculatedColumnFormula>AugustIncome[[#This Row],[ACTUAL]]-AugustIncome[[#This Row],[ESTIMATED]]</calculatedColumnFormula>
    </tableColumn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4" name="PersonnelTableAugust" displayName="PersonnelTableAugust" ref="B13:F18" totalsRowCount="1" headerRowDxfId="346" dataDxfId="344" headerRowBorderDxfId="345" tableBorderDxfId="343" totalsRowBorderDxfId="342">
  <autoFilter ref="B13:F17"/>
  <tableColumns count="5">
    <tableColumn id="1" name="PERSONNEL EXPENSES" totalsRowLabel="Total Personnel Expenses" dataDxfId="41" totalsRowDxfId="341"/>
    <tableColumn id="2" name="ESTIMATED" totalsRowFunction="sum" dataDxfId="40" totalsRowDxfId="340" dataCellStyle="Comma"/>
    <tableColumn id="3" name="ACTUAL" totalsRowFunction="sum" dataDxfId="39" totalsRowDxfId="339" dataCellStyle="Comma"/>
    <tableColumn id="4" name="TOP 5 AMOUNT" dataDxfId="338" totalsRowDxfId="337" dataCellStyle="Comma">
      <calculatedColumnFormula>PersonnelTableAugust[[#This Row],[ACTUAL]]+(10^-6)*ROW(PersonnelTableAugust[[#This Row],[ACTUAL]])</calculatedColumnFormula>
    </tableColumn>
    <tableColumn id="5" name="DIFFERENCE" totalsRowFunction="sum" dataDxfId="336" totalsRowDxfId="335" dataCellStyle="Comma">
      <calculatedColumnFormula>PersonnelTableAugust[[#This Row],[ESTIMATED]]-PersonnelTableAugust[[#This Row],[ACTUAL]]</calculatedColumnFormula>
    </tableColumn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45" name="OpExpAugust" displayName="OpExpAugust" ref="B20:F49" totalsRowCount="1" headerRowDxfId="334" dataDxfId="333">
  <autoFilter ref="B20:F48"/>
  <sortState ref="B21:F48">
    <sortCondition descending="1" ref="D20:D48"/>
  </sortState>
  <tableColumns count="5">
    <tableColumn id="1" name="OPERATING EXPENSES" totalsRowLabel="Total Operating Expenses" dataDxfId="38" totalsRowDxfId="332"/>
    <tableColumn id="2" name="ESTIMATED" totalsRowFunction="sum" dataDxfId="37" totalsRowDxfId="331" dataCellStyle="Comma"/>
    <tableColumn id="3" name="ACTUAL" totalsRowFunction="sum" dataDxfId="36" totalsRowDxfId="330" dataCellStyle="Comma"/>
    <tableColumn id="4" name="TOP 5 AMOUNT" dataDxfId="329" totalsRowDxfId="328" dataCellStyle="Comma">
      <calculatedColumnFormula>OpExpAugust[[#This Row],[ACTUAL]]+(10^-6)*ROW(OpExpAugust[[#This Row],[ACTUAL]])</calculatedColumnFormula>
    </tableColumn>
    <tableColumn id="5" name="DIFFERENCE" totalsRowFunction="sum" dataDxfId="327" totalsRowDxfId="326" dataCellStyle="Comma">
      <calculatedColumnFormula>OpExpAugust[[#This Row],[ESTIMATED]]-OpExpAugust[[#This Row],[ACTUAL]]</calculatedColumnFormula>
    </tableColumn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6" name="TotalsTableSeptember" displayName="TotalsTableSeptember" ref="B4:E7" totalsRowCount="1" headerRowDxfId="325" dataDxfId="323" headerRowBorderDxfId="324" tableBorderDxfId="322" totalsRowBorderDxfId="321">
  <autoFilter ref="B4:E6"/>
  <tableColumns count="4">
    <tableColumn id="1" name="BUDGET TOTALS" totalsRowLabel="Balance (Income minus Expenses)" dataDxfId="320" totalsRowDxfId="319"/>
    <tableColumn id="2" name="ESTIMATED" totalsRowFunction="custom" dataDxfId="318" totalsRowDxfId="317" dataCellStyle="Comma">
      <calculatedColumnFormula>OpExpJan[[#Totals],[ESTIMATED]]</calculatedColumnFormula>
      <totalsRowFormula>C5-C6</totalsRowFormula>
    </tableColumn>
    <tableColumn id="3" name="ACTUAL" totalsRowFunction="custom" dataDxfId="316" totalsRowDxfId="315" dataCellStyle="Comma">
      <totalsRowFormula>D5-D6</totalsRowFormula>
    </tableColumn>
    <tableColumn id="4" name="DIFFERENCE " totalsRowFunction="custom" dataDxfId="314" totalsRowDxfId="313" dataCellStyle="Comma">
      <calculatedColumnFormula>TotalsTableSeptember[[#This Row],[ACTUAL]]-TotalsTableSeptember[[#This Row],[ESTIMATED]]</calculatedColumnFormula>
      <totalsRowFormula>TotalsTableSeptember[[#Totals],[ACTUAL]]-TotalsTableSeptember[[#Totals],[ESTIMATED]]</totalsRowFormula>
    </tableColumn>
  </tableColumns>
  <tableStyleInfo name="TableStyleLight14" showFirstColumn="0" showLastColumn="0" showRowStripes="0" showColumnStripes="0"/>
</table>
</file>

<file path=xl/tables/table47.xml><?xml version="1.0" encoding="utf-8"?>
<table xmlns="http://schemas.openxmlformats.org/spreadsheetml/2006/main" id="47" name="Top5ExpSeptember" displayName="Top5ExpSeptember" ref="B32:E38" totalsRowCount="1" headerRowDxfId="312" dataDxfId="311" totalsRowDxfId="310">
  <autoFilter ref="B32:E37"/>
  <tableColumns count="4">
    <tableColumn id="1" name="EXPENSE" totalsRowLabel="Total" dataDxfId="309" totalsRowDxfId="308">
      <calculatedColumnFormula>INDEX(OpExpSept[],(MATCH(Top5ExpSeptember[[#This Row],[AMOUNT]],OpExpSept[TOP 5 AMOUNT],0)),1)</calculatedColumnFormula>
    </tableColumn>
    <tableColumn id="2" name="AMOUNT" totalsRowFunction="sum" dataDxfId="307" totalsRowDxfId="306" dataCellStyle="Comma">
      <calculatedColumnFormula>LARGE(OpExpSept[TOP 5 AMOUNT],1)</calculatedColumnFormula>
    </tableColumn>
    <tableColumn id="3" name="% OF EXPENSES" totalsRowFunction="sum" dataDxfId="305" totalsRowDxfId="304" dataCellStyle="Percent">
      <calculatedColumnFormula>Top5ExpSeptember[[#This Row],[AMOUNT]]/$D$6</calculatedColumnFormula>
    </tableColumn>
    <tableColumn id="4" name="15% REDUCTION" totalsRowFunction="sum" dataDxfId="303" totalsRowDxfId="302" dataCellStyle="Comma">
      <calculatedColumnFormula>Top5ExpSeptember[[#This Row],[AMOUNT]]*0.15</calculatedColumnFormula>
    </tableColumn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48" name="SeptIncome" displayName="SeptIncome" ref="B5:F11" totalsRowCount="1" headerRowDxfId="301" dataDxfId="300" totalsRowDxfId="299">
  <autoFilter ref="B5:F10"/>
  <tableColumns count="5">
    <tableColumn id="1" name="INCOME" totalsRowLabel="Total Income" dataDxfId="35" totalsRowDxfId="298"/>
    <tableColumn id="2" name="ESTIMATED" totalsRowFunction="sum" dataDxfId="34" totalsRowDxfId="297" dataCellStyle="Comma"/>
    <tableColumn id="3" name="ACTUAL" totalsRowFunction="sum" dataDxfId="33" totalsRowDxfId="296" dataCellStyle="Comma"/>
    <tableColumn id="4" name="TOP 5 AMOUNT" dataDxfId="295" totalsRowDxfId="294" dataCellStyle="Comma">
      <calculatedColumnFormula>SeptIncome[[#This Row],[ACTUAL]]+(10^-6)*ROW(SeptIncome[[#This Row],[ACTUAL]])</calculatedColumnFormula>
    </tableColumn>
    <tableColumn id="5" name="DIFFERENCE" totalsRowFunction="sum" dataDxfId="293" totalsRowDxfId="292" dataCellStyle="Comma">
      <calculatedColumnFormula>SeptIncome[[#This Row],[ACTUAL]]-SeptIncome[[#This Row],[ESTIMATED]]</calculatedColumnFormula>
    </tableColumn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49" name="PersonnelTableSept" displayName="PersonnelTableSept" ref="B13:F18" totalsRowCount="1" headerRowDxfId="291" dataDxfId="289" headerRowBorderDxfId="290" tableBorderDxfId="288" totalsRowBorderDxfId="287">
  <autoFilter ref="B13:F17"/>
  <tableColumns count="5">
    <tableColumn id="1" name="PERSONNEL EXPENSES" totalsRowLabel="Total Personnel Expenses" dataDxfId="32" totalsRowDxfId="286"/>
    <tableColumn id="2" name="ESTIMATED" totalsRowFunction="sum" dataDxfId="31" totalsRowDxfId="285" dataCellStyle="Comma"/>
    <tableColumn id="3" name="ACTUAL" totalsRowFunction="sum" dataDxfId="30" totalsRowDxfId="284" dataCellStyle="Comma"/>
    <tableColumn id="4" name="TOP 5 AMOUNT" dataDxfId="283" totalsRowDxfId="282" dataCellStyle="Comma">
      <calculatedColumnFormula>PersonnelTableSept[[#This Row],[ACTUAL]]+(10^-6)*ROW(PersonnelTableSept[[#This Row],[ACTUAL]])</calculatedColumnFormula>
    </tableColumn>
    <tableColumn id="5" name="DIFFERENCE" totalsRowFunction="sum" dataDxfId="281" totalsRowDxfId="280" dataCellStyle="Comma">
      <calculatedColumnFormula>PersonnelTableSept[[#This Row],[ESTIMATED]]-PersonnelTableSept[[#This Row],[ACTUAL]]</calculatedColumnFormula>
    </tableColumn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50" name="OpExpSept" displayName="OpExpSept" ref="B20:F49" totalsRowCount="1" headerRowDxfId="279" dataDxfId="278">
  <autoFilter ref="B20:F48"/>
  <sortState ref="B21:F48">
    <sortCondition descending="1" ref="D20:D48"/>
  </sortState>
  <tableColumns count="5">
    <tableColumn id="1" name="OPERATING EXPENSES" totalsRowLabel="Total Operating Expenses" dataDxfId="29" totalsRowDxfId="277"/>
    <tableColumn id="2" name="ESTIMATED" totalsRowFunction="sum" dataDxfId="28" totalsRowDxfId="276" dataCellStyle="Comma"/>
    <tableColumn id="3" name="ACTUAL" totalsRowFunction="sum" dataDxfId="27" totalsRowDxfId="275" dataCellStyle="Comma"/>
    <tableColumn id="4" name="TOP 5 AMOUNT" dataDxfId="274" totalsRowDxfId="273" dataCellStyle="Comma">
      <calculatedColumnFormula>OpExpSept[[#This Row],[ACTUAL]]+(10^-6)*ROW(OpExpSept[[#This Row],[ACTUAL]])</calculatedColumnFormula>
    </tableColumn>
    <tableColumn id="5" name="DIFFERENCE" totalsRowFunction="sum" dataDxfId="272" totalsRowDxfId="271" dataCellStyle="Comma">
      <calculatedColumnFormula>OpExpSept[[#This Row],[ESTIMATED]]-OpExpSept[[#This Row],[ACTUAL]]</calculatedColumnFormula>
    </tableColumn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id="51" name="TotalsTableOctober" displayName="TotalsTableOctober" ref="B4:E7" totalsRowCount="1" headerRowDxfId="270" dataDxfId="268" headerRowBorderDxfId="269" tableBorderDxfId="267" totalsRowBorderDxfId="266">
  <autoFilter ref="B4:E6"/>
  <tableColumns count="4">
    <tableColumn id="1" name="BUDGET TOTALS" totalsRowLabel="Balance (Income minus Expenses)" dataDxfId="265" totalsRowDxfId="264"/>
    <tableColumn id="2" name="ESTIMATED" totalsRowFunction="custom" dataDxfId="263" totalsRowDxfId="262" dataCellStyle="Comma">
      <calculatedColumnFormula>OpExpJan[[#Totals],[ESTIMATED]]</calculatedColumnFormula>
      <totalsRowFormula>C5-C6</totalsRowFormula>
    </tableColumn>
    <tableColumn id="3" name="ACTUAL" totalsRowFunction="custom" dataDxfId="261" totalsRowDxfId="260" dataCellStyle="Comma">
      <totalsRowFormula>D5-D6</totalsRowFormula>
    </tableColumn>
    <tableColumn id="4" name="DIFFERENCE " totalsRowFunction="custom" dataDxfId="259" totalsRowDxfId="258" dataCellStyle="Comma">
      <calculatedColumnFormula>TotalsTableOctober[[#This Row],[ACTUAL]]-TotalsTableOctober[[#This Row],[ESTIMATED]]</calculatedColumnFormula>
      <totalsRowFormula>TotalsTableOctober[[#Totals],[ACTUAL]]-TotalsTableOctober[[#Totals],[ESTIMATED]]</totalsRowFormula>
    </tableColumn>
  </tableColumns>
  <tableStyleInfo name="TableStyleLight14" showFirstColumn="0" showLastColumn="0" showRowStripes="0" showColumnStripes="0"/>
</table>
</file>

<file path=xl/tables/table52.xml><?xml version="1.0" encoding="utf-8"?>
<table xmlns="http://schemas.openxmlformats.org/spreadsheetml/2006/main" id="52" name="Top5ExpOctober" displayName="Top5ExpOctober" ref="B32:E38" totalsRowCount="1" headerRowDxfId="257" dataDxfId="256" totalsRowDxfId="255">
  <autoFilter ref="B32:E37"/>
  <tableColumns count="4">
    <tableColumn id="1" name="EXPENSE" totalsRowLabel="Total" dataDxfId="254" totalsRowDxfId="253">
      <calculatedColumnFormula>INDEX(OpExpOct[],(MATCH(Top5ExpOctober[[#This Row],[AMOUNT]],OpExpOct[TOP 5 AMOUNT],0)),1)</calculatedColumnFormula>
    </tableColumn>
    <tableColumn id="2" name="AMOUNT" totalsRowFunction="sum" dataDxfId="252" totalsRowDxfId="251" dataCellStyle="Comma">
      <calculatedColumnFormula>LARGE(OpExpOct[TOP 5 AMOUNT],1)</calculatedColumnFormula>
    </tableColumn>
    <tableColumn id="3" name="% OF EXPENSES" totalsRowFunction="sum" dataDxfId="250" totalsRowDxfId="249" dataCellStyle="Percent">
      <calculatedColumnFormula>Top5ExpOctober[[#This Row],[AMOUNT]]/$D$6</calculatedColumnFormula>
    </tableColumn>
    <tableColumn id="4" name="15% REDUCTION" totalsRowFunction="sum" dataDxfId="248" totalsRowDxfId="247" dataCellStyle="Comma">
      <calculatedColumnFormula>Top5ExpOctober[[#This Row],[AMOUNT]]*0.15</calculatedColumnFormula>
    </tableColumn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53" name="OctIncome" displayName="OctIncome" ref="B5:F11" totalsRowCount="1" headerRowDxfId="246" dataDxfId="245" totalsRowDxfId="244">
  <autoFilter ref="B5:F10"/>
  <tableColumns count="5">
    <tableColumn id="1" name="INCOME" totalsRowLabel="Total Income" dataDxfId="26" totalsRowDxfId="243"/>
    <tableColumn id="2" name="ESTIMATED" totalsRowFunction="sum" dataDxfId="25" totalsRowDxfId="242" dataCellStyle="Comma"/>
    <tableColumn id="3" name="ACTUAL" totalsRowFunction="sum" dataDxfId="24" totalsRowDxfId="241" dataCellStyle="Comma"/>
    <tableColumn id="4" name="TOP 5 AMOUNT" dataDxfId="240" totalsRowDxfId="239" dataCellStyle="Comma">
      <calculatedColumnFormula>OctIncome[[#This Row],[ACTUAL]]+(10^-6)*ROW(OctIncome[[#This Row],[ACTUAL]])</calculatedColumnFormula>
    </tableColumn>
    <tableColumn id="5" name="DIFFERENCE" totalsRowFunction="sum" dataDxfId="238" totalsRowDxfId="237" dataCellStyle="Comma">
      <calculatedColumnFormula>OctIncome[[#This Row],[ACTUAL]]-OctIncome[[#This Row],[ESTIMATED]]</calculatedColumnFormula>
    </tableColumn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id="54" name="PersonnelTableOct" displayName="PersonnelTableOct" ref="B13:F18" totalsRowCount="1" headerRowDxfId="236" dataDxfId="234" headerRowBorderDxfId="235" tableBorderDxfId="233" totalsRowBorderDxfId="232">
  <autoFilter ref="B13:F17"/>
  <tableColumns count="5">
    <tableColumn id="1" name="PERSONNEL EXPENSES" totalsRowLabel="Total Personnel Expenses" dataDxfId="23" totalsRowDxfId="231"/>
    <tableColumn id="2" name="ESTIMATED" totalsRowFunction="sum" dataDxfId="22" totalsRowDxfId="230" dataCellStyle="Comma"/>
    <tableColumn id="3" name="ACTUAL" totalsRowFunction="sum" dataDxfId="21" totalsRowDxfId="229" dataCellStyle="Comma"/>
    <tableColumn id="4" name="TOP 5 AMOUNT" dataDxfId="228" totalsRowDxfId="227" dataCellStyle="Comma">
      <calculatedColumnFormula>PersonnelTableOct[[#This Row],[ACTUAL]]+(10^-6)*ROW(PersonnelTableOct[[#This Row],[ACTUAL]])</calculatedColumnFormula>
    </tableColumn>
    <tableColumn id="5" name="DIFFERENCE" totalsRowFunction="sum" dataDxfId="226" totalsRowDxfId="225" dataCellStyle="Comma">
      <calculatedColumnFormula>PersonnelTableOct[[#This Row],[ESTIMATED]]-PersonnelTableOct[[#This Row],[ACTUAL]]</calculatedColumnFormula>
    </tableColumn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55" name="OpExpOct" displayName="OpExpOct" ref="B20:F49" totalsRowCount="1" headerRowDxfId="224" dataDxfId="223">
  <autoFilter ref="B20:F48"/>
  <sortState ref="B21:F48">
    <sortCondition descending="1" ref="D20:D48"/>
  </sortState>
  <tableColumns count="5">
    <tableColumn id="1" name="OPERATING EXPENSES" totalsRowLabel="Total Operating Expenses" dataDxfId="20" totalsRowDxfId="222"/>
    <tableColumn id="2" name="ESTIMATED" totalsRowFunction="sum" dataDxfId="19" totalsRowDxfId="221" dataCellStyle="Comma"/>
    <tableColumn id="3" name="ACTUAL" totalsRowFunction="sum" dataDxfId="18" totalsRowDxfId="220" dataCellStyle="Comma"/>
    <tableColumn id="4" name="TOP 5 AMOUNT" dataDxfId="219" totalsRowDxfId="218" dataCellStyle="Comma">
      <calculatedColumnFormula>OpExpOct[[#This Row],[ACTUAL]]+(10^-6)*ROW(OpExpOct[[#This Row],[ACTUAL]])</calculatedColumnFormula>
    </tableColumn>
    <tableColumn id="5" name="DIFFERENCE" totalsRowFunction="sum" dataDxfId="217" totalsRowDxfId="216" dataCellStyle="Comma">
      <calculatedColumnFormula>OpExpOct[[#This Row],[ESTIMATED]]-OpExpOct[[#This Row],[ACTUAL]]</calculatedColumnFormula>
    </tableColumn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id="56" name="TotalsTableNovember" displayName="TotalsTableNovember" ref="B4:E7" totalsRowCount="1" headerRowDxfId="215" dataDxfId="213" headerRowBorderDxfId="214" tableBorderDxfId="212" totalsRowBorderDxfId="211">
  <autoFilter ref="B4:E6"/>
  <tableColumns count="4">
    <tableColumn id="1" name="BUDGET TOTALS" totalsRowLabel="Balance (Income minus Expenses)" dataDxfId="210" totalsRowDxfId="209"/>
    <tableColumn id="2" name="ESTIMATED" totalsRowFunction="custom" dataDxfId="208" totalsRowDxfId="207" dataCellStyle="Comma">
      <calculatedColumnFormula>OpExpJan[[#Totals],[ESTIMATED]]</calculatedColumnFormula>
      <totalsRowFormula>C5-C6</totalsRowFormula>
    </tableColumn>
    <tableColumn id="3" name="ACTUAL" totalsRowFunction="custom" dataDxfId="206" totalsRowDxfId="205" dataCellStyle="Comma">
      <totalsRowFormula>D5-D6</totalsRowFormula>
    </tableColumn>
    <tableColumn id="4" name="DIFFERENCE " totalsRowFunction="custom" dataDxfId="204" totalsRowDxfId="203" dataCellStyle="Comma">
      <calculatedColumnFormula>TotalsTableNovember[[#This Row],[ACTUAL]]-TotalsTableNovember[[#This Row],[ESTIMATED]]</calculatedColumnFormula>
      <totalsRowFormula>TotalsTableNovember[[#Totals],[ACTUAL]]-TotalsTableNovember[[#Totals],[ESTIMATED]]</totalsRowFormula>
    </tableColumn>
  </tableColumns>
  <tableStyleInfo name="TableStyleLight14" showFirstColumn="0" showLastColumn="0" showRowStripes="0" showColumnStripes="0"/>
</table>
</file>

<file path=xl/tables/table57.xml><?xml version="1.0" encoding="utf-8"?>
<table xmlns="http://schemas.openxmlformats.org/spreadsheetml/2006/main" id="57" name="Top5ExpNovember" displayName="Top5ExpNovember" ref="B32:E38" totalsRowCount="1" headerRowDxfId="202" dataDxfId="201" totalsRowDxfId="200">
  <autoFilter ref="B32:E37"/>
  <tableColumns count="4">
    <tableColumn id="1" name="EXPENSE" totalsRowLabel="Total" dataDxfId="199" totalsRowDxfId="198">
      <calculatedColumnFormula>INDEX(OpExpNov[],(MATCH(Top5ExpNovember[[#This Row],[AMOUNT]],OpExpNov[TOP 5 AMOUNT],0)),1)</calculatedColumnFormula>
    </tableColumn>
    <tableColumn id="2" name="AMOUNT" totalsRowFunction="sum" dataDxfId="197" totalsRowDxfId="196" dataCellStyle="Comma">
      <calculatedColumnFormula>LARGE(OpExpNov[TOP 5 AMOUNT],1)</calculatedColumnFormula>
    </tableColumn>
    <tableColumn id="3" name="% OF EXPENSES" totalsRowFunction="sum" dataDxfId="195" totalsRowDxfId="194" dataCellStyle="Percent">
      <calculatedColumnFormula>Top5ExpNovember[[#This Row],[AMOUNT]]/$D$6</calculatedColumnFormula>
    </tableColumn>
    <tableColumn id="4" name="15% REDUCTION" totalsRowFunction="sum" dataDxfId="193" totalsRowDxfId="192" dataCellStyle="Comma">
      <calculatedColumnFormula>Top5ExpNovember[[#This Row],[AMOUNT]]*0.15</calculatedColumnFormula>
    </tableColumn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id="58" name="NovIncome" displayName="NovIncome" ref="B5:F11" totalsRowCount="1" headerRowDxfId="191" dataDxfId="190" totalsRowDxfId="189">
  <autoFilter ref="B5:F10"/>
  <tableColumns count="5">
    <tableColumn id="1" name="INCOME" totalsRowLabel="Total Income" dataDxfId="17" totalsRowDxfId="188"/>
    <tableColumn id="2" name="ESTIMATED" totalsRowFunction="sum" dataDxfId="16" totalsRowDxfId="187" dataCellStyle="Comma"/>
    <tableColumn id="3" name="ACTUAL" totalsRowFunction="sum" dataDxfId="15" totalsRowDxfId="186" dataCellStyle="Comma"/>
    <tableColumn id="4" name="TOP 5 AMOUNT" dataDxfId="185" totalsRowDxfId="184" dataCellStyle="Comma">
      <calculatedColumnFormula>NovIncome[[#This Row],[ACTUAL]]+(10^-6)*ROW(NovIncome[[#This Row],[ACTUAL]])</calculatedColumnFormula>
    </tableColumn>
    <tableColumn id="5" name="DIFFERENCE" totalsRowFunction="sum" dataDxfId="183" totalsRowDxfId="182" dataCellStyle="Comma">
      <calculatedColumnFormula>NovIncome[[#This Row],[ACTUAL]]-NovIncome[[#This Row],[ESTIMATED]]</calculatedColumnFormula>
    </tableColumn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id="59" name="PersonnelTableNov" displayName="PersonnelTableNov" ref="B13:F18" totalsRowCount="1" headerRowDxfId="181" dataDxfId="179" headerRowBorderDxfId="180" tableBorderDxfId="178" totalsRowBorderDxfId="177">
  <autoFilter ref="B13:F17"/>
  <tableColumns count="5">
    <tableColumn id="1" name="PERSONNEL EXPENSES" totalsRowLabel="Total Personnel Expenses" dataDxfId="14" totalsRowDxfId="176"/>
    <tableColumn id="2" name="ESTIMATED" totalsRowFunction="sum" dataDxfId="13" totalsRowDxfId="175" dataCellStyle="Comma"/>
    <tableColumn id="3" name="ACTUAL" totalsRowFunction="sum" dataDxfId="12" totalsRowDxfId="174" dataCellStyle="Comma"/>
    <tableColumn id="4" name="TOP 5 AMOUNT" dataDxfId="173" totalsRowDxfId="172" dataCellStyle="Comma">
      <calculatedColumnFormula>PersonnelTableNov[[#This Row],[ACTUAL]]+(10^-6)*ROW(PersonnelTableNov[[#This Row],[ACTUAL]])</calculatedColumnFormula>
    </tableColumn>
    <tableColumn id="5" name="DIFFERENCE" totalsRowFunction="sum" dataDxfId="171" totalsRowDxfId="170" dataCellStyle="Comma">
      <calculatedColumnFormula>PersonnelTableNov[[#This Row],[ESTIMATED]]-PersonnelTableNov[[#This Row],[ACTUAL]]</calculatedColumnFormula>
    </tableColumn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id="60" name="OpExpNov" displayName="OpExpNov" ref="B20:F49" totalsRowCount="1" headerRowDxfId="169" dataDxfId="168">
  <autoFilter ref="B20:F48"/>
  <sortState ref="B21:F48">
    <sortCondition descending="1" ref="D20:D48"/>
  </sortState>
  <tableColumns count="5">
    <tableColumn id="1" name="OPERATING EXPENSES" totalsRowLabel="Total Operating Expenses" dataDxfId="11" totalsRowDxfId="167"/>
    <tableColumn id="2" name="ESTIMATED" totalsRowFunction="sum" dataDxfId="10" totalsRowDxfId="166" dataCellStyle="Comma"/>
    <tableColumn id="3" name="ACTUAL" totalsRowFunction="sum" dataDxfId="9" totalsRowDxfId="165" dataCellStyle="Comma"/>
    <tableColumn id="4" name="TOP 5 AMOUNT" dataDxfId="164" totalsRowDxfId="163" dataCellStyle="Comma">
      <calculatedColumnFormula>OpExpNov[[#This Row],[ACTUAL]]+(10^-6)*ROW(OpExpNov[[#This Row],[ACTUAL]])</calculatedColumnFormula>
    </tableColumn>
    <tableColumn id="5" name="DIFFERENCE" totalsRowFunction="sum" dataDxfId="162" totalsRowDxfId="161" dataCellStyle="Comma">
      <calculatedColumnFormula>OpExpNov[[#This Row],[ESTIMATED]]-OpExpNov[[#This Row],[ACTUAL]]</calculatedColumnFormula>
    </tableColumn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id="61" name="TotalsTableDecember" displayName="TotalsTableDecember" ref="B4:E7" totalsRowCount="1" headerRowDxfId="160" dataDxfId="158" headerRowBorderDxfId="159" tableBorderDxfId="157" totalsRowBorderDxfId="156">
  <autoFilter ref="B4:E6"/>
  <tableColumns count="4">
    <tableColumn id="1" name="BUDGET TOTALS" totalsRowLabel="Balance (Income minus Expenses)" dataDxfId="155" totalsRowDxfId="154"/>
    <tableColumn id="2" name="ESTIMATED" totalsRowFunction="custom" dataDxfId="153" totalsRowDxfId="152" dataCellStyle="Comma">
      <calculatedColumnFormula>OpExpJan[[#Totals],[ESTIMATED]]</calculatedColumnFormula>
      <totalsRowFormula>C5-C6</totalsRowFormula>
    </tableColumn>
    <tableColumn id="3" name="ACTUAL" totalsRowFunction="custom" dataDxfId="151" totalsRowDxfId="150" dataCellStyle="Comma">
      <totalsRowFormula>D5-D6</totalsRowFormula>
    </tableColumn>
    <tableColumn id="4" name="DIFFERENCE " totalsRowFunction="custom" dataDxfId="149" totalsRowDxfId="148" dataCellStyle="Comma">
      <calculatedColumnFormula>TotalsTableDecember[[#This Row],[ACTUAL]]-TotalsTableDecember[[#This Row],[ESTIMATED]]</calculatedColumnFormula>
      <totalsRowFormula>TotalsTableDecember[[#Totals],[ACTUAL]]-TotalsTableDecember[[#Totals],[ESTIMATED]]</totalsRowFormula>
    </tableColumn>
  </tableColumns>
  <tableStyleInfo name="TableStyleLight14" showFirstColumn="0" showLastColumn="0" showRowStripes="0" showColumnStripes="0"/>
</table>
</file>

<file path=xl/tables/table62.xml><?xml version="1.0" encoding="utf-8"?>
<table xmlns="http://schemas.openxmlformats.org/spreadsheetml/2006/main" id="62" name="Top5ExpDecember" displayName="Top5ExpDecember" ref="B32:E38" totalsRowCount="1" headerRowDxfId="147" dataDxfId="146" totalsRowDxfId="145">
  <autoFilter ref="B32:E37"/>
  <tableColumns count="4">
    <tableColumn id="1" name="EXPENSE" totalsRowLabel="Total" dataDxfId="144" totalsRowDxfId="143">
      <calculatedColumnFormula>INDEX(OpExpDec[],(MATCH(Top5ExpDecember[[#This Row],[AMOUNT]],OpExpDec[TOP 5 AMOUNT],0)),1)</calculatedColumnFormula>
    </tableColumn>
    <tableColumn id="2" name="AMOUNT" totalsRowFunction="sum" dataDxfId="142" totalsRowDxfId="141" dataCellStyle="Comma">
      <calculatedColumnFormula>LARGE(OpExpDec[TOP 5 AMOUNT],1)</calculatedColumnFormula>
    </tableColumn>
    <tableColumn id="3" name="% OF EXPENSES" totalsRowFunction="sum" dataDxfId="140" totalsRowDxfId="139" dataCellStyle="Percent">
      <calculatedColumnFormula>Top5ExpDecember[[#This Row],[AMOUNT]]/$D$6</calculatedColumnFormula>
    </tableColumn>
    <tableColumn id="4" name="15% REDUCTION" totalsRowFunction="sum" dataDxfId="138" totalsRowDxfId="137" dataCellStyle="Comma">
      <calculatedColumnFormula>Top5ExpDecember[[#This Row],[AMOUNT]]*0.15</calculatedColumnFormula>
    </tableColumn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id="63" name="DecIncome" displayName="DecIncome" ref="B5:F11" totalsRowCount="1" headerRowDxfId="136" dataDxfId="135" totalsRowDxfId="134">
  <autoFilter ref="B5:F10"/>
  <tableColumns count="5">
    <tableColumn id="1" name="INCOME" totalsRowLabel="Total Income" dataDxfId="8" totalsRowDxfId="133"/>
    <tableColumn id="2" name="ESTIMATED" totalsRowFunction="sum" dataDxfId="7" totalsRowDxfId="132" dataCellStyle="Comma"/>
    <tableColumn id="3" name="ACTUAL" totalsRowFunction="sum" dataDxfId="6" totalsRowDxfId="131" dataCellStyle="Comma"/>
    <tableColumn id="4" name="TOP 5 AMOUNT" dataDxfId="130" totalsRowDxfId="129" dataCellStyle="Comma">
      <calculatedColumnFormula>DecIncome[[#This Row],[ACTUAL]]+(10^-6)*ROW(DecIncome[[#This Row],[ACTUAL]])</calculatedColumnFormula>
    </tableColumn>
    <tableColumn id="5" name="DIFFERENCE" totalsRowFunction="sum" dataDxfId="128" totalsRowDxfId="127" dataCellStyle="Comma">
      <calculatedColumnFormula>DecIncome[[#This Row],[ACTUAL]]-DecIncome[[#This Row],[ESTIMATED]]</calculatedColumnFormula>
    </tableColumn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id="64" name="PersonnelTableDec" displayName="PersonnelTableDec" ref="B13:F18" totalsRowCount="1" headerRowDxfId="126" dataDxfId="124" headerRowBorderDxfId="125" tableBorderDxfId="123" totalsRowBorderDxfId="122">
  <autoFilter ref="B13:F17"/>
  <tableColumns count="5">
    <tableColumn id="1" name="PERSONNEL EXPENSES" totalsRowLabel="Total Personnel Expenses" dataDxfId="5" totalsRowDxfId="121"/>
    <tableColumn id="2" name="ESTIMATED" totalsRowFunction="sum" dataDxfId="4" totalsRowDxfId="120" dataCellStyle="Comma"/>
    <tableColumn id="3" name="ACTUAL" totalsRowFunction="sum" dataDxfId="3" totalsRowDxfId="119" dataCellStyle="Comma"/>
    <tableColumn id="4" name="TOP 5 AMOUNT" dataDxfId="118" totalsRowDxfId="117" dataCellStyle="Comma">
      <calculatedColumnFormula>PersonnelTableDec[[#This Row],[ACTUAL]]+(10^-6)*ROW(PersonnelTableDec[[#This Row],[ACTUAL]])</calculatedColumnFormula>
    </tableColumn>
    <tableColumn id="5" name="DIFFERENCE" totalsRowFunction="sum" dataDxfId="116" totalsRowDxfId="115" dataCellStyle="Comma">
      <calculatedColumnFormula>PersonnelTableDec[[#This Row],[ESTIMATED]]-PersonnelTableDec[[#This Row],[ACTUAL]]</calculatedColumnFormula>
    </tableColumn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id="65" name="OpExpDec" displayName="OpExpDec" ref="B20:F49" totalsRowCount="1" headerRowDxfId="114" dataDxfId="113">
  <autoFilter ref="B20:F48"/>
  <sortState ref="B21:F48">
    <sortCondition descending="1" ref="D20:D48"/>
  </sortState>
  <tableColumns count="5">
    <tableColumn id="1" name="OPERATING EXPENSES" totalsRowLabel="Total Operating Expenses" dataDxfId="2" totalsRowDxfId="112"/>
    <tableColumn id="2" name="ESTIMATED" totalsRowFunction="sum" dataDxfId="1" totalsRowDxfId="111" dataCellStyle="Comma"/>
    <tableColumn id="3" name="ACTUAL" totalsRowFunction="sum" dataDxfId="0" totalsRowDxfId="110" dataCellStyle="Comma"/>
    <tableColumn id="4" name="TOP 5 AMOUNT" dataDxfId="109" totalsRowDxfId="108" dataCellStyle="Comma">
      <calculatedColumnFormula>OpExpDec[[#This Row],[ACTUAL]]+(10^-6)*ROW(OpExpDec[[#This Row],[ACTUAL]])</calculatedColumnFormula>
    </tableColumn>
    <tableColumn id="5" name="DIFFERENCE" totalsRowFunction="sum" dataDxfId="107" totalsRowDxfId="106" dataCellStyle="Comma">
      <calculatedColumnFormula>OpExpDec[[#This Row],[ESTIMATED]]-OpExpDec[[#This Row],[ACTUAL]]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table" Target="../tables/table1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table" Target="../tables/table2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table" Target="../tables/table3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table" Target="../tables/table5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drawing" Target="../drawings/drawing1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table" Target="../tables/table5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table" Target="../tables/table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showFormulas="1" workbookViewId="0">
      <selection activeCell="B3" sqref="B3"/>
    </sheetView>
  </sheetViews>
  <sheetFormatPr defaultRowHeight="15" x14ac:dyDescent="0.25"/>
  <cols>
    <col min="2" max="2" width="35.285156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40" t="s">
        <v>57</v>
      </c>
      <c r="C2" s="1"/>
      <c r="D2" s="1"/>
      <c r="E2" s="1"/>
      <c r="F2" s="1"/>
      <c r="G2" s="1"/>
    </row>
    <row r="3" spans="1:7" ht="33" x14ac:dyDescent="0.45">
      <c r="B3" s="41" t="s">
        <v>14</v>
      </c>
      <c r="C3" s="2"/>
      <c r="D3" s="2"/>
      <c r="E3" s="42"/>
      <c r="F3" s="42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YearlyIncome[[#Totals],[ESTIMATED]]</f>
        <v>1055000</v>
      </c>
      <c r="D5" s="28">
        <f>YearlyIncome[[#Totals],[ACTUAL]]</f>
        <v>1145000</v>
      </c>
      <c r="E5" s="24">
        <f>TotalsTableYearly[[#This Row],[ACTUAL]]-TotalsTableYearly[[#This Row],[ESTIMATED]]</f>
        <v>90000</v>
      </c>
      <c r="F5" s="4"/>
    </row>
    <row r="6" spans="1:7" ht="15.75" x14ac:dyDescent="0.25">
      <c r="A6" s="4"/>
      <c r="B6" s="11" t="s">
        <v>6</v>
      </c>
      <c r="C6" s="28">
        <f>OpExpYearly[[#Totals],[ESTIMATED]]+PersonnelTableYearly[[#Totals],[ESTIMATED]]</f>
        <v>814800</v>
      </c>
      <c r="D6" s="28">
        <f>OpExpYearly[[#Totals],[ACTUAL]]+PersonnelTableYearly[[#Totals],[ACTUAL]]</f>
        <v>781740</v>
      </c>
      <c r="E6" s="24">
        <f>TotalsTableYearly[[#This Row],[ESTIMATED]]-TotalsTableYearly[[#This Row],[ACTUAL]]</f>
        <v>33060</v>
      </c>
      <c r="F6" s="4"/>
    </row>
    <row r="7" spans="1:7" ht="15.75" x14ac:dyDescent="0.25">
      <c r="A7" s="4"/>
      <c r="B7" s="12" t="s">
        <v>13</v>
      </c>
      <c r="C7" s="38">
        <f>C5-C6</f>
        <v>240200</v>
      </c>
      <c r="D7" s="38">
        <f>D5-D6</f>
        <v>363260</v>
      </c>
      <c r="E7" s="29">
        <f>TotalsTableYearly[[#Totals],[ACTUAL]]-TotalsTableYearly[[#Totals],[ESTIMATED]]</f>
        <v>123060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INDEX(OpExpYearly[],(MATCH(Table25[[#This Row],[AMOUNT]],OpExpYearly[TOP 5 AMOUNT],0)),1)</f>
        <v>Pesticides/Chemicals</v>
      </c>
      <c r="C33" s="16">
        <f>LARGE(OpExpYearly[TOP 5 AMOUNT],1)</f>
        <v>111000.000023</v>
      </c>
      <c r="D33" s="30">
        <f>Table25[[#This Row],[AMOUNT]]/$D$6</f>
        <v>0.14199094330979609</v>
      </c>
      <c r="E33" s="16">
        <f>Table25[[#This Row],[AMOUNT]]*0.15</f>
        <v>16650.000003450001</v>
      </c>
      <c r="F33" s="4"/>
    </row>
    <row r="34" spans="1:6" ht="15.75" x14ac:dyDescent="0.25">
      <c r="A34" s="4"/>
      <c r="B34" s="6" t="str">
        <f>INDEX(OpExpYearly[],(MATCH(Table25[[#This Row],[AMOUNT]],OpExpYearly[TOP 5 AMOUNT],0)),1)</f>
        <v>Feed</v>
      </c>
      <c r="C34" s="16">
        <f>LARGE(OpExpYearly[TOP 5 AMOUNT],2)</f>
        <v>79000.000023999994</v>
      </c>
      <c r="D34" s="30">
        <f>Table25[[#This Row],[AMOUNT]]/$D$6</f>
        <v>0.10105661732033668</v>
      </c>
      <c r="E34" s="16">
        <f>Table25[[#This Row],[AMOUNT]]*0.15</f>
        <v>11850.000003599998</v>
      </c>
      <c r="F34" s="4"/>
    </row>
    <row r="35" spans="1:6" ht="15.75" x14ac:dyDescent="0.25">
      <c r="A35" s="4"/>
      <c r="B35" s="6" t="str">
        <f>INDEX(OpExpYearly[],(MATCH(Table25[[#This Row],[AMOUNT]],OpExpYearly[TOP 5 AMOUNT],0)),1)</f>
        <v>Supplies</v>
      </c>
      <c r="C35" s="16">
        <f>LARGE(OpExpYearly[TOP 5 AMOUNT],3)</f>
        <v>54000.000026000002</v>
      </c>
      <c r="D35" s="30">
        <f>Table25[[#This Row],[AMOUNT]]/$D$6</f>
        <v>6.907667514263055E-2</v>
      </c>
      <c r="E35" s="16">
        <f>Table25[[#This Row],[AMOUNT]]*0.15</f>
        <v>8100.0000038999997</v>
      </c>
      <c r="F35" s="4"/>
    </row>
    <row r="36" spans="1:6" ht="15.75" x14ac:dyDescent="0.25">
      <c r="A36" s="4"/>
      <c r="B36" s="6" t="str">
        <f>INDEX(OpExpYearly[],(MATCH(Table25[[#This Row],[AMOUNT]],OpExpYearly[TOP 5 AMOUNT],0)),1)</f>
        <v>Rent or Mortgage</v>
      </c>
      <c r="C36" s="16">
        <f>LARGE(OpExpYearly[TOP 5 AMOUNT],4)</f>
        <v>54000.000025000001</v>
      </c>
      <c r="D36" s="30">
        <f>Table25[[#This Row],[AMOUNT]]/$D$6</f>
        <v>6.9076675141351351E-2</v>
      </c>
      <c r="E36" s="16">
        <f>Table25[[#This Row],[AMOUNT]]*0.15</f>
        <v>8100.0000037499995</v>
      </c>
      <c r="F36" s="4"/>
    </row>
    <row r="37" spans="1:6" ht="15.75" x14ac:dyDescent="0.25">
      <c r="A37" s="4"/>
      <c r="B37" s="6" t="str">
        <f>INDEX(OpExpYearly[],(MATCH(Table25[[#This Row],[AMOUNT]],OpExpYearly[TOP 5 AMOUNT],0)),1)</f>
        <v>Maintenance and Repairs</v>
      </c>
      <c r="C37" s="16">
        <f>LARGE(OpExpYearly[TOP 5 AMOUNT],5)</f>
        <v>48000.000027000002</v>
      </c>
      <c r="D37" s="30">
        <f>Table25[[#This Row],[AMOUNT]]/$D$6</f>
        <v>6.1401489020646252E-2</v>
      </c>
      <c r="E37" s="16">
        <f>Table25[[#This Row],[AMOUNT]]*0.15</f>
        <v>7200.0000040499999</v>
      </c>
      <c r="F37" s="4"/>
    </row>
    <row r="38" spans="1:6" ht="15.75" x14ac:dyDescent="0.25">
      <c r="A38" s="4"/>
      <c r="B38" s="7" t="s">
        <v>13</v>
      </c>
      <c r="C38" s="17">
        <f>SUBTOTAL(109,Table25[AMOUNT])</f>
        <v>346000.00012500002</v>
      </c>
      <c r="D38" s="39">
        <f>SUBTOTAL(109,Table25[% OF EXPENSES])</f>
        <v>0.44260239993476092</v>
      </c>
      <c r="E38" s="17">
        <f>SUBTOTAL(109,Table25[15% REDUCTION])</f>
        <v>51900.000018749997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workbookViewId="0">
      <selection activeCell="B48" sqref="B6:B48"/>
    </sheetView>
  </sheetViews>
  <sheetFormatPr defaultRowHeight="15" x14ac:dyDescent="0.25"/>
  <cols>
    <col min="1" max="1" width="4.85546875" customWidth="1"/>
    <col min="2" max="2" width="34" customWidth="1"/>
    <col min="3" max="3" width="17.85546875" customWidth="1"/>
    <col min="4" max="4" width="16.7109375" customWidth="1"/>
    <col min="5" max="5" width="17" customWidth="1"/>
    <col min="6" max="6" width="17" bestFit="1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</row>
    <row r="3" spans="1:7" ht="33" x14ac:dyDescent="0.45">
      <c r="B3" s="3" t="s">
        <v>14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19">
        <f>JanuaryIncome[[#This Row],[ESTIMATED]]+FebIncome[[#This Row],[ESTIMATED]]+MarchIncome[[#This Row],[ESTIMATED]]+AprilIncome[[#This Row],[ESTIMATED]]+MayIncome[[#This Row],[ESTIMATED]]+JuneIncome[[#This Row],[ESTIMATED]]+JulyIncome[[#This Row],[ESTIMATED]]+AugustIncome[[#This Row],[ESTIMATED]]+SeptIncome[[#This Row],[ESTIMATED]]+OctIncome[[#This Row],[ESTIMATED]]+NovIncome[[#This Row],[ESTIMATED]]+DecIncome[[#This Row],[ESTIMATED]]</f>
        <v>580000</v>
      </c>
      <c r="D6" s="19">
        <f>JanuaryIncome[[#This Row],[ACTUAL]]+FebIncome[[#This Row],[ACTUAL]]+MarchIncome[[#This Row],[ACTUAL]]+AprilIncome[[#This Row],[ACTUAL]]+MayIncome[[#This Row],[ACTUAL]]+JuneIncome[[#This Row],[ACTUAL]]+JulyIncome[[#This Row],[ACTUAL]]+AugustIncome[[#This Row],[ACTUAL]]+SeptIncome[[#This Row],[ACTUAL]]+OctIncome[[#This Row],[ACTUAL]]+NovIncome[[#This Row],[ACTUAL]]+DecIncome[[#This Row],[ACTUAL]]</f>
        <v>700000</v>
      </c>
      <c r="E6" s="19">
        <f>YearlyIncome[[#This Row],[ACTUAL]]+(10^-6)*ROW(YearlyIncome[[#This Row],[ACTUAL]])</f>
        <v>700000.00000600005</v>
      </c>
      <c r="F6" s="22">
        <f>YearlyIncome[[#This Row],[ACTUAL]]-YearlyIncome[[#This Row],[ESTIMATED]]</f>
        <v>120000</v>
      </c>
      <c r="G6" s="4"/>
    </row>
    <row r="7" spans="1:7" ht="15.75" x14ac:dyDescent="0.25">
      <c r="A7" s="4"/>
      <c r="B7" s="43" t="s">
        <v>55</v>
      </c>
      <c r="C7" s="19">
        <f>JanuaryIncome[[#This Row],[ESTIMATED]]+FebIncome[[#This Row],[ESTIMATED]]+MarchIncome[[#This Row],[ESTIMATED]]+AprilIncome[[#This Row],[ESTIMATED]]+MayIncome[[#This Row],[ESTIMATED]]+JuneIncome[[#This Row],[ESTIMATED]]+JulyIncome[[#This Row],[ESTIMATED]]+AugustIncome[[#This Row],[ESTIMATED]]+SeptIncome[[#This Row],[ESTIMATED]]+OctIncome[[#This Row],[ESTIMATED]]+NovIncome[[#This Row],[ESTIMATED]]+DecIncome[[#This Row],[ESTIMATED]]</f>
        <v>355000</v>
      </c>
      <c r="D7" s="19">
        <f>JanuaryIncome[[#This Row],[ACTUAL]]+FebIncome[[#This Row],[ACTUAL]]+MarchIncome[[#This Row],[ACTUAL]]+AprilIncome[[#This Row],[ACTUAL]]+MayIncome[[#This Row],[ACTUAL]]+JuneIncome[[#This Row],[ACTUAL]]+JulyIncome[[#This Row],[ACTUAL]]+AugustIncome[[#This Row],[ACTUAL]]+SeptIncome[[#This Row],[ACTUAL]]+OctIncome[[#This Row],[ACTUAL]]+NovIncome[[#This Row],[ACTUAL]]+DecIncome[[#This Row],[ACTUAL]]</f>
        <v>331000</v>
      </c>
      <c r="E7" s="19">
        <f>YearlyIncome[[#This Row],[ACTUAL]]+(10^-6)*ROW(YearlyIncome[[#This Row],[ACTUAL]])</f>
        <v>331000.000007</v>
      </c>
      <c r="F7" s="22">
        <f>YearlyIncome[[#This Row],[ACTUAL]]-YearlyIncome[[#This Row],[ESTIMATED]]</f>
        <v>-24000</v>
      </c>
      <c r="G7" s="4"/>
    </row>
    <row r="8" spans="1:7" ht="15.75" x14ac:dyDescent="0.25">
      <c r="A8" s="4"/>
      <c r="B8" s="43" t="s">
        <v>56</v>
      </c>
      <c r="C8" s="19">
        <f>JanuaryIncome[[#This Row],[ESTIMATED]]+FebIncome[[#This Row],[ESTIMATED]]+MarchIncome[[#This Row],[ESTIMATED]]+AprilIncome[[#This Row],[ESTIMATED]]+MayIncome[[#This Row],[ESTIMATED]]+JuneIncome[[#This Row],[ESTIMATED]]+JulyIncome[[#This Row],[ESTIMATED]]+AugustIncome[[#This Row],[ESTIMATED]]+SeptIncome[[#This Row],[ESTIMATED]]+OctIncome[[#This Row],[ESTIMATED]]+NovIncome[[#This Row],[ESTIMATED]]+DecIncome[[#This Row],[ESTIMATED]]</f>
        <v>36000</v>
      </c>
      <c r="D8" s="19">
        <f>JanuaryIncome[[#This Row],[ACTUAL]]+FebIncome[[#This Row],[ACTUAL]]+MarchIncome[[#This Row],[ACTUAL]]+AprilIncome[[#This Row],[ACTUAL]]+MayIncome[[#This Row],[ACTUAL]]+JuneIncome[[#This Row],[ACTUAL]]+JulyIncome[[#This Row],[ACTUAL]]+AugustIncome[[#This Row],[ACTUAL]]+SeptIncome[[#This Row],[ACTUAL]]+OctIncome[[#This Row],[ACTUAL]]+NovIncome[[#This Row],[ACTUAL]]+DecIncome[[#This Row],[ACTUAL]]</f>
        <v>36000</v>
      </c>
      <c r="E8" s="19">
        <f>YearlyIncome[[#This Row],[ACTUAL]]+(10^-6)*ROW(YearlyIncome[[#This Row],[ACTUAL]])</f>
        <v>36000.000008000003</v>
      </c>
      <c r="F8" s="22">
        <f>YearlyIncome[[#This Row],[ACTUAL]]-YearlyIncome[[#This Row],[ESTIMATED]]</f>
        <v>0</v>
      </c>
      <c r="G8" s="4"/>
    </row>
    <row r="9" spans="1:7" ht="15.75" x14ac:dyDescent="0.25">
      <c r="A9" s="4"/>
      <c r="B9" s="43" t="s">
        <v>54</v>
      </c>
      <c r="C9" s="19">
        <f>JanuaryIncome[[#This Row],[ESTIMATED]]+FebIncome[[#This Row],[ESTIMATED]]+MarchIncome[[#This Row],[ESTIMATED]]+AprilIncome[[#This Row],[ESTIMATED]]+MayIncome[[#This Row],[ESTIMATED]]+JuneIncome[[#This Row],[ESTIMATED]]+JulyIncome[[#This Row],[ESTIMATED]]+AugustIncome[[#This Row],[ESTIMATED]]+SeptIncome[[#This Row],[ESTIMATED]]+OctIncome[[#This Row],[ESTIMATED]]+NovIncome[[#This Row],[ESTIMATED]]+DecIncome[[#This Row],[ESTIMATED]]</f>
        <v>36000</v>
      </c>
      <c r="D9" s="19">
        <f>JanuaryIncome[[#This Row],[ACTUAL]]+FebIncome[[#This Row],[ACTUAL]]+MarchIncome[[#This Row],[ACTUAL]]+AprilIncome[[#This Row],[ACTUAL]]+MayIncome[[#This Row],[ACTUAL]]+JuneIncome[[#This Row],[ACTUAL]]+JulyIncome[[#This Row],[ACTUAL]]+AugustIncome[[#This Row],[ACTUAL]]+SeptIncome[[#This Row],[ACTUAL]]+OctIncome[[#This Row],[ACTUAL]]+NovIncome[[#This Row],[ACTUAL]]+DecIncome[[#This Row],[ACTUAL]]</f>
        <v>36000</v>
      </c>
      <c r="E9" s="19">
        <f>YearlyIncome[[#This Row],[ACTUAL]]+(10^-6)*ROW(YearlyIncome[[#This Row],[ACTUAL]])</f>
        <v>36000.000009000003</v>
      </c>
      <c r="F9" s="22">
        <f>YearlyIncome[[#This Row],[ACTUAL]]-YearlyIncome[[#This Row],[ESTIMATED]]</f>
        <v>0</v>
      </c>
      <c r="G9" s="4"/>
    </row>
    <row r="10" spans="1:7" ht="15.75" x14ac:dyDescent="0.25">
      <c r="A10" s="4"/>
      <c r="B10" s="43" t="s">
        <v>53</v>
      </c>
      <c r="C10" s="19">
        <f>JanuaryIncome[[#This Row],[ESTIMATED]]+FebIncome[[#This Row],[ESTIMATED]]+MarchIncome[[#This Row],[ESTIMATED]]+AprilIncome[[#This Row],[ESTIMATED]]+MayIncome[[#This Row],[ESTIMATED]]+JuneIncome[[#This Row],[ESTIMATED]]+JulyIncome[[#This Row],[ESTIMATED]]+AugustIncome[[#This Row],[ESTIMATED]]+SeptIncome[[#This Row],[ESTIMATED]]+OctIncome[[#This Row],[ESTIMATED]]+NovIncome[[#This Row],[ESTIMATED]]+DecIncome[[#This Row],[ESTIMATED]]</f>
        <v>48000</v>
      </c>
      <c r="D10" s="19">
        <f>JanuaryIncome[[#This Row],[ACTUAL]]+FebIncome[[#This Row],[ACTUAL]]+MarchIncome[[#This Row],[ACTUAL]]+AprilIncome[[#This Row],[ACTUAL]]+MayIncome[[#This Row],[ACTUAL]]+JuneIncome[[#This Row],[ACTUAL]]+JulyIncome[[#This Row],[ACTUAL]]+AugustIncome[[#This Row],[ACTUAL]]+SeptIncome[[#This Row],[ACTUAL]]+OctIncome[[#This Row],[ACTUAL]]+NovIncome[[#This Row],[ACTUAL]]+DecIncome[[#This Row],[ACTUAL]]</f>
        <v>42000</v>
      </c>
      <c r="E10" s="19">
        <f>YearlyIncome[[#This Row],[ACTUAL]]+(10^-6)*ROW(YearlyIncome[[#This Row],[ACTUAL]])</f>
        <v>42000.000010000003</v>
      </c>
      <c r="F10" s="22">
        <f>YearlyIncome[[#This Row],[ACTUAL]]-YearlyIncome[[#This Row],[ESTIMATED]]</f>
        <v>-6000</v>
      </c>
      <c r="G10" s="4"/>
    </row>
    <row r="11" spans="1:7" ht="15.75" x14ac:dyDescent="0.25">
      <c r="A11" s="4"/>
      <c r="B11" s="44" t="s">
        <v>18</v>
      </c>
      <c r="C11" s="33">
        <f>SUBTOTAL(109,YearlyIncome[ESTIMATED])</f>
        <v>1055000</v>
      </c>
      <c r="D11" s="33">
        <f>SUBTOTAL(109,YearlyIncome[ACTUAL])</f>
        <v>1145000</v>
      </c>
      <c r="E11" s="33"/>
      <c r="F11" s="34">
        <f>SUBTOTAL(109,YearlyIncome[DIFFERENCE])</f>
        <v>90000</v>
      </c>
      <c r="G11" s="4"/>
    </row>
    <row r="12" spans="1:7" x14ac:dyDescent="0.25">
      <c r="A12" s="4"/>
      <c r="B12" s="45"/>
      <c r="C12" s="4"/>
      <c r="D12" s="4"/>
      <c r="E12" s="4"/>
      <c r="F12" s="4"/>
      <c r="G12" s="4"/>
    </row>
    <row r="13" spans="1:7" ht="15.75" x14ac:dyDescent="0.25">
      <c r="A13" s="4"/>
      <c r="B13" s="46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19">
        <f>PersonnelTableJan[[#This Row],[ESTIMATED]]+PersonnelTableFeb[[#This Row],[ESTIMATED]]+PersonnelTableMarch[[#This Row],[ESTIMATED]]+PersonnelTableApril[[#This Row],[ESTIMATED]]+PersonnelTableMay[[#This Row],[ESTIMATED]]+PersonnelTableJune[[#This Row],[ESTIMATED]]+PersonnelTableJuly[[#This Row],[ESTIMATED]]+PersonnelTableAugust[[#This Row],[ESTIMATED]]+PersonnelTableSept[[#This Row],[ESTIMATED]]+PersonnelTableOct[[#This Row],[ESTIMATED]]+PersonnelTableNov[[#This Row],[ESTIMATED]]+PersonnelTableDec[[#This Row],[ESTIMATED]]</f>
        <v>69000</v>
      </c>
      <c r="D14" s="19">
        <f>PersonnelTableJan[[#This Row],[ACTUAL]]+PersonnelTableFeb[[#This Row],[ACTUAL]]+PersonnelTableMarch[[#This Row],[ACTUAL]]+PersonnelTableApril[[#This Row],[ACTUAL]]+PersonnelTableMay[[#This Row],[ACTUAL]]+PersonnelTableJune[[#This Row],[ACTUAL]]+PersonnelTableJuly[[#This Row],[ACTUAL]]+PersonnelTableAugust[[#This Row],[ACTUAL]]+PersonnelTableSept[[#This Row],[ACTUAL]]+PersonnelTableOct[[#This Row],[ACTUAL]]+PersonnelTableNov[[#This Row],[ACTUAL]]+PersonnelTableDec[[#This Row],[ACTUAL]]</f>
        <v>65200</v>
      </c>
      <c r="E14" s="19">
        <f>PersonnelTableYearly[[#This Row],[ACTUAL]]+(10^-6)*ROW(PersonnelTableYearly[[#This Row],[ACTUAL]])</f>
        <v>65200.000013999997</v>
      </c>
      <c r="F14" s="24">
        <f>PersonnelTableYearly[[#This Row],[ESTIMATED]]-PersonnelTableYearly[[#This Row],[ACTUAL]]</f>
        <v>3800</v>
      </c>
      <c r="G14" s="4"/>
    </row>
    <row r="15" spans="1:7" ht="15.75" x14ac:dyDescent="0.25">
      <c r="A15" s="4"/>
      <c r="B15" s="47" t="s">
        <v>24</v>
      </c>
      <c r="C15" s="19">
        <f>PersonnelTableJan[[#This Row],[ESTIMATED]]+PersonnelTableFeb[[#This Row],[ESTIMATED]]+PersonnelTableMarch[[#This Row],[ESTIMATED]]+PersonnelTableApril[[#This Row],[ESTIMATED]]+PersonnelTableMay[[#This Row],[ESTIMATED]]+PersonnelTableJune[[#This Row],[ESTIMATED]]+PersonnelTableJuly[[#This Row],[ESTIMATED]]+PersonnelTableAugust[[#This Row],[ESTIMATED]]+PersonnelTableSept[[#This Row],[ESTIMATED]]+PersonnelTableOct[[#This Row],[ESTIMATED]]+PersonnelTableNov[[#This Row],[ESTIMATED]]+PersonnelTableDec[[#This Row],[ESTIMATED]]</f>
        <v>28000</v>
      </c>
      <c r="D15" s="19">
        <f>PersonnelTableJan[[#This Row],[ACTUAL]]+PersonnelTableFeb[[#This Row],[ACTUAL]]+PersonnelTableMarch[[#This Row],[ACTUAL]]+PersonnelTableApril[[#This Row],[ACTUAL]]+PersonnelTableMay[[#This Row],[ACTUAL]]+PersonnelTableJune[[#This Row],[ACTUAL]]+PersonnelTableJuly[[#This Row],[ACTUAL]]+PersonnelTableAugust[[#This Row],[ACTUAL]]+PersonnelTableSept[[#This Row],[ACTUAL]]+PersonnelTableOct[[#This Row],[ACTUAL]]+PersonnelTableNov[[#This Row],[ACTUAL]]+PersonnelTableDec[[#This Row],[ACTUAL]]</f>
        <v>0</v>
      </c>
      <c r="E15" s="19">
        <f>PersonnelTableYearly[[#This Row],[ACTUAL]]+(10^-6)*ROW(PersonnelTableYearly[[#This Row],[ACTUAL]])</f>
        <v>1.4999999999999999E-5</v>
      </c>
      <c r="F15" s="24">
        <f>PersonnelTableYearly[[#This Row],[ESTIMATED]]-PersonnelTableYearly[[#This Row],[ACTUAL]]</f>
        <v>28000</v>
      </c>
      <c r="G15" s="4"/>
    </row>
    <row r="16" spans="1:7" ht="15.75" x14ac:dyDescent="0.25">
      <c r="A16" s="4"/>
      <c r="B16" s="47" t="s">
        <v>25</v>
      </c>
      <c r="C16" s="19">
        <f>PersonnelTableJan[[#This Row],[ESTIMATED]]+PersonnelTableFeb[[#This Row],[ESTIMATED]]+PersonnelTableMarch[[#This Row],[ESTIMATED]]+PersonnelTableApril[[#This Row],[ESTIMATED]]+PersonnelTableMay[[#This Row],[ESTIMATED]]+PersonnelTableJune[[#This Row],[ESTIMATED]]+PersonnelTableJuly[[#This Row],[ESTIMATED]]+PersonnelTableAugust[[#This Row],[ESTIMATED]]+PersonnelTableSept[[#This Row],[ESTIMATED]]+PersonnelTableOct[[#This Row],[ESTIMATED]]+PersonnelTableNov[[#This Row],[ESTIMATED]]+PersonnelTableDec[[#This Row],[ESTIMATED]]</f>
        <v>50000</v>
      </c>
      <c r="D16" s="19">
        <f>PersonnelTableJan[[#This Row],[ACTUAL]]+PersonnelTableFeb[[#This Row],[ACTUAL]]+PersonnelTableMarch[[#This Row],[ACTUAL]]+PersonnelTableApril[[#This Row],[ACTUAL]]+PersonnelTableMay[[#This Row],[ACTUAL]]+PersonnelTableJune[[#This Row],[ACTUAL]]+PersonnelTableJuly[[#This Row],[ACTUAL]]+PersonnelTableAugust[[#This Row],[ACTUAL]]+PersonnelTableSept[[#This Row],[ACTUAL]]+PersonnelTableOct[[#This Row],[ACTUAL]]+PersonnelTableNov[[#This Row],[ACTUAL]]+PersonnelTableDec[[#This Row],[ACTUAL]]</f>
        <v>40000</v>
      </c>
      <c r="E16" s="19">
        <f>PersonnelTableYearly[[#This Row],[ACTUAL]]+(10^-6)*ROW(PersonnelTableYearly[[#This Row],[ACTUAL]])</f>
        <v>40000.000015999998</v>
      </c>
      <c r="F16" s="24">
        <f>PersonnelTableYearly[[#This Row],[ESTIMATED]]-PersonnelTableYearly[[#This Row],[ACTUAL]]</f>
        <v>10000</v>
      </c>
      <c r="G16" s="4"/>
    </row>
    <row r="17" spans="1:7" ht="15.75" x14ac:dyDescent="0.25">
      <c r="A17" s="4"/>
      <c r="B17" s="47" t="s">
        <v>26</v>
      </c>
      <c r="C17" s="19">
        <f>PersonnelTableJan[[#This Row],[ESTIMATED]]+PersonnelTableFeb[[#This Row],[ESTIMATED]]+PersonnelTableMarch[[#This Row],[ESTIMATED]]+PersonnelTableApril[[#This Row],[ESTIMATED]]+PersonnelTableMay[[#This Row],[ESTIMATED]]+PersonnelTableJune[[#This Row],[ESTIMATED]]+PersonnelTableJuly[[#This Row],[ESTIMATED]]+PersonnelTableAugust[[#This Row],[ESTIMATED]]+PersonnelTableSept[[#This Row],[ESTIMATED]]+PersonnelTableOct[[#This Row],[ESTIMATED]]+PersonnelTableNov[[#This Row],[ESTIMATED]]+PersonnelTableDec[[#This Row],[ESTIMATED]]</f>
        <v>24000</v>
      </c>
      <c r="D17" s="19">
        <f>PersonnelTableJan[[#This Row],[ACTUAL]]+PersonnelTableFeb[[#This Row],[ACTUAL]]+PersonnelTableMarch[[#This Row],[ACTUAL]]+PersonnelTableApril[[#This Row],[ACTUAL]]+PersonnelTableMay[[#This Row],[ACTUAL]]+PersonnelTableJune[[#This Row],[ACTUAL]]+PersonnelTableJuly[[#This Row],[ACTUAL]]+PersonnelTableAugust[[#This Row],[ACTUAL]]+PersonnelTableSept[[#This Row],[ACTUAL]]+PersonnelTableOct[[#This Row],[ACTUAL]]+PersonnelTableNov[[#This Row],[ACTUAL]]+PersonnelTableDec[[#This Row],[ACTUAL]]</f>
        <v>18000</v>
      </c>
      <c r="E17" s="19">
        <f>PersonnelTableYearly[[#This Row],[ACTUAL]]+(10^-6)*ROW(PersonnelTableYearly[[#This Row],[ACTUAL]])</f>
        <v>18000.000016999998</v>
      </c>
      <c r="F17" s="24">
        <f>PersonnelTableYearly[[#This Row],[ESTIMATED]]-PersonnelTableYearly[[#This Row],[ACTUAL]]</f>
        <v>6000</v>
      </c>
      <c r="G17" s="4"/>
    </row>
    <row r="18" spans="1:7" ht="15.75" x14ac:dyDescent="0.25">
      <c r="A18" s="4"/>
      <c r="B18" s="48" t="s">
        <v>20</v>
      </c>
      <c r="C18" s="35">
        <f>SUBTOTAL(109,PersonnelTableYearly[ESTIMATED])</f>
        <v>171000</v>
      </c>
      <c r="D18" s="35">
        <f>SUBTOTAL(109,PersonnelTableYearly[ACTUAL])</f>
        <v>123200</v>
      </c>
      <c r="E18" s="35"/>
      <c r="F18" s="36">
        <f>SUBTOTAL(109,PersonnelTableYearly[DIFFERENCE])</f>
        <v>47800</v>
      </c>
      <c r="G18" s="4"/>
    </row>
    <row r="19" spans="1:7" x14ac:dyDescent="0.25">
      <c r="A19" s="4"/>
      <c r="B19" s="45"/>
      <c r="C19" s="4"/>
      <c r="D19" s="4"/>
      <c r="E19" s="4"/>
      <c r="F19" s="4"/>
      <c r="G19" s="4"/>
    </row>
    <row r="20" spans="1:7" ht="15.75" x14ac:dyDescent="0.25">
      <c r="A20" s="4"/>
      <c r="B20" s="49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65000</v>
      </c>
      <c r="D21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40000</v>
      </c>
      <c r="E21" s="16">
        <f>OpExpYearly[[#This Row],[ACTUAL]]+(10^-6)*ROW(OpExpYearly[[#This Row],[ACTUAL]])</f>
        <v>40000.000021</v>
      </c>
      <c r="F21" s="26">
        <f>OpExpYearly[[#This Row],[ESTIMATED]]-OpExpYearly[[#This Row],[ACTUAL]]</f>
        <v>25000</v>
      </c>
      <c r="G21" s="4"/>
    </row>
    <row r="22" spans="1:7" ht="15.75" x14ac:dyDescent="0.25">
      <c r="A22" s="4"/>
      <c r="B22" s="50" t="s">
        <v>46</v>
      </c>
      <c r="C22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30000</v>
      </c>
      <c r="D22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32000</v>
      </c>
      <c r="E22" s="16">
        <f>OpExpYearly[[#This Row],[ACTUAL]]+(10^-6)*ROW(OpExpYearly[[#This Row],[ACTUAL]])</f>
        <v>32000.000022</v>
      </c>
      <c r="F22" s="26">
        <f>OpExpYearly[[#This Row],[ESTIMATED]]-OpExpYearly[[#This Row],[ACTUAL]]</f>
        <v>-2000</v>
      </c>
      <c r="G22" s="4"/>
    </row>
    <row r="23" spans="1:7" ht="15.75" x14ac:dyDescent="0.25">
      <c r="A23" s="4"/>
      <c r="B23" s="50" t="s">
        <v>48</v>
      </c>
      <c r="C23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89000</v>
      </c>
      <c r="D23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111000</v>
      </c>
      <c r="E23" s="16">
        <f>OpExpYearly[[#This Row],[ACTUAL]]+(10^-6)*ROW(OpExpYearly[[#This Row],[ACTUAL]])</f>
        <v>111000.000023</v>
      </c>
      <c r="F23" s="26">
        <f>OpExpYearly[[#This Row],[ESTIMATED]]-OpExpYearly[[#This Row],[ACTUAL]]</f>
        <v>-22000</v>
      </c>
      <c r="G23" s="4"/>
    </row>
    <row r="24" spans="1:7" ht="15.75" x14ac:dyDescent="0.25">
      <c r="A24" s="4"/>
      <c r="B24" s="50" t="s">
        <v>49</v>
      </c>
      <c r="C24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59000</v>
      </c>
      <c r="D24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79000</v>
      </c>
      <c r="E24" s="16">
        <f>OpExpYearly[[#This Row],[ACTUAL]]+(10^-6)*ROW(OpExpYearly[[#This Row],[ACTUAL]])</f>
        <v>79000.000023999994</v>
      </c>
      <c r="F24" s="26">
        <f>OpExpYearly[[#This Row],[ESTIMATED]]-OpExpYearly[[#This Row],[ACTUAL]]</f>
        <v>-20000</v>
      </c>
      <c r="G24" s="4"/>
    </row>
    <row r="25" spans="1:7" ht="15.75" x14ac:dyDescent="0.25">
      <c r="A25" s="4"/>
      <c r="B25" s="50" t="s">
        <v>39</v>
      </c>
      <c r="C25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49200</v>
      </c>
      <c r="D25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54000</v>
      </c>
      <c r="E25" s="16">
        <f>OpExpYearly[[#This Row],[ACTUAL]]+(10^-6)*ROW(OpExpYearly[[#This Row],[ACTUAL]])</f>
        <v>54000.000025000001</v>
      </c>
      <c r="F25" s="26">
        <f>OpExpYearly[[#This Row],[ESTIMATED]]-OpExpYearly[[#This Row],[ACTUAL]]</f>
        <v>-4800</v>
      </c>
      <c r="G25" s="4"/>
    </row>
    <row r="26" spans="1:7" ht="15.75" x14ac:dyDescent="0.25">
      <c r="A26" s="4"/>
      <c r="B26" s="50" t="s">
        <v>42</v>
      </c>
      <c r="C26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60000</v>
      </c>
      <c r="D26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54000</v>
      </c>
      <c r="E26" s="16">
        <f>OpExpYearly[[#This Row],[ACTUAL]]+(10^-6)*ROW(OpExpYearly[[#This Row],[ACTUAL]])</f>
        <v>54000.000026000002</v>
      </c>
      <c r="F26" s="26">
        <f>OpExpYearly[[#This Row],[ESTIMATED]]-OpExpYearly[[#This Row],[ACTUAL]]</f>
        <v>6000</v>
      </c>
      <c r="G26" s="4"/>
    </row>
    <row r="27" spans="1:7" ht="15.75" x14ac:dyDescent="0.25">
      <c r="A27" s="4"/>
      <c r="B27" s="50" t="s">
        <v>36</v>
      </c>
      <c r="C27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54000</v>
      </c>
      <c r="D27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48000</v>
      </c>
      <c r="E27" s="16">
        <f>OpExpYearly[[#This Row],[ACTUAL]]+(10^-6)*ROW(OpExpYearly[[#This Row],[ACTUAL]])</f>
        <v>48000.000027000002</v>
      </c>
      <c r="F27" s="26">
        <f>OpExpYearly[[#This Row],[ESTIMATED]]-OpExpYearly[[#This Row],[ACTUAL]]</f>
        <v>6000</v>
      </c>
      <c r="G27" s="4"/>
    </row>
    <row r="28" spans="1:7" ht="15.75" x14ac:dyDescent="0.25">
      <c r="A28" s="4"/>
      <c r="B28" s="50" t="s">
        <v>50</v>
      </c>
      <c r="C28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36000</v>
      </c>
      <c r="D28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42000</v>
      </c>
      <c r="E28" s="16">
        <f>OpExpYearly[[#This Row],[ACTUAL]]+(10^-6)*ROW(OpExpYearly[[#This Row],[ACTUAL]])</f>
        <v>42000.000028000002</v>
      </c>
      <c r="F28" s="26">
        <f>OpExpYearly[[#This Row],[ESTIMATED]]-OpExpYearly[[#This Row],[ACTUAL]]</f>
        <v>-6000</v>
      </c>
      <c r="G28" s="4"/>
    </row>
    <row r="29" spans="1:7" ht="15.75" x14ac:dyDescent="0.25">
      <c r="A29" s="4"/>
      <c r="B29" s="50" t="s">
        <v>43</v>
      </c>
      <c r="C29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36000</v>
      </c>
      <c r="D29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38400</v>
      </c>
      <c r="E29" s="16">
        <f>OpExpYearly[[#This Row],[ACTUAL]]+(10^-6)*ROW(OpExpYearly[[#This Row],[ACTUAL]])</f>
        <v>38400.000029000003</v>
      </c>
      <c r="F29" s="26">
        <f>OpExpYearly[[#This Row],[ESTIMATED]]-OpExpYearly[[#This Row],[ACTUAL]]</f>
        <v>-2400</v>
      </c>
      <c r="G29" s="4"/>
    </row>
    <row r="30" spans="1:7" ht="15.75" x14ac:dyDescent="0.25">
      <c r="A30" s="4"/>
      <c r="B30" s="50" t="s">
        <v>34</v>
      </c>
      <c r="C30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24000</v>
      </c>
      <c r="D30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26400</v>
      </c>
      <c r="E30" s="16">
        <f>OpExpYearly[[#This Row],[ACTUAL]]+(10^-6)*ROW(OpExpYearly[[#This Row],[ACTUAL]])</f>
        <v>26400.000029999999</v>
      </c>
      <c r="F30" s="26">
        <f>OpExpYearly[[#This Row],[ESTIMATED]]-OpExpYearly[[#This Row],[ACTUAL]]</f>
        <v>-2400</v>
      </c>
      <c r="G30" s="4"/>
    </row>
    <row r="31" spans="1:7" ht="15.75" x14ac:dyDescent="0.25">
      <c r="A31" s="4"/>
      <c r="B31" s="50" t="s">
        <v>30</v>
      </c>
      <c r="C31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24000</v>
      </c>
      <c r="D31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18000</v>
      </c>
      <c r="E31" s="16">
        <f>OpExpYearly[[#This Row],[ACTUAL]]+(10^-6)*ROW(OpExpYearly[[#This Row],[ACTUAL]])</f>
        <v>18000.000031</v>
      </c>
      <c r="F31" s="26">
        <f>OpExpYearly[[#This Row],[ESTIMATED]]-OpExpYearly[[#This Row],[ACTUAL]]</f>
        <v>6000</v>
      </c>
      <c r="G31" s="4"/>
    </row>
    <row r="32" spans="1:7" ht="15.75" x14ac:dyDescent="0.25">
      <c r="A32" s="4"/>
      <c r="B32" s="50" t="s">
        <v>33</v>
      </c>
      <c r="C32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15600</v>
      </c>
      <c r="D32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15300</v>
      </c>
      <c r="E32" s="16">
        <f>OpExpYearly[[#This Row],[ACTUAL]]+(10^-6)*ROW(OpExpYearly[[#This Row],[ACTUAL]])</f>
        <v>15300.000032</v>
      </c>
      <c r="F32" s="26">
        <f>OpExpYearly[[#This Row],[ESTIMATED]]-OpExpYearly[[#This Row],[ACTUAL]]</f>
        <v>300</v>
      </c>
      <c r="G32" s="4"/>
    </row>
    <row r="33" spans="1:7" ht="15.75" x14ac:dyDescent="0.25">
      <c r="A33" s="4"/>
      <c r="B33" s="50" t="s">
        <v>37</v>
      </c>
      <c r="C33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12000</v>
      </c>
      <c r="D33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14400</v>
      </c>
      <c r="E33" s="16">
        <f>OpExpYearly[[#This Row],[ACTUAL]]+(10^-6)*ROW(OpExpYearly[[#This Row],[ACTUAL]])</f>
        <v>14400.000033</v>
      </c>
      <c r="F33" s="26">
        <f>OpExpYearly[[#This Row],[ESTIMATED]]-OpExpYearly[[#This Row],[ACTUAL]]</f>
        <v>-2400</v>
      </c>
      <c r="G33" s="4"/>
    </row>
    <row r="34" spans="1:7" ht="15.75" x14ac:dyDescent="0.25">
      <c r="A34" s="4"/>
      <c r="B34" s="50" t="s">
        <v>29</v>
      </c>
      <c r="C34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12000</v>
      </c>
      <c r="D34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12000</v>
      </c>
      <c r="E34" s="16">
        <f>OpExpYearly[[#This Row],[ACTUAL]]+(10^-6)*ROW(OpExpYearly[[#This Row],[ACTUAL]])</f>
        <v>12000.000034000001</v>
      </c>
      <c r="F34" s="26">
        <f>OpExpYearly[[#This Row],[ESTIMATED]]-OpExpYearly[[#This Row],[ACTUAL]]</f>
        <v>0</v>
      </c>
      <c r="G34" s="4"/>
    </row>
    <row r="35" spans="1:7" ht="15.75" x14ac:dyDescent="0.25">
      <c r="A35" s="4"/>
      <c r="B35" s="50" t="s">
        <v>31</v>
      </c>
      <c r="C35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12000</v>
      </c>
      <c r="D35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12000</v>
      </c>
      <c r="E35" s="16">
        <f>OpExpYearly[[#This Row],[ACTUAL]]+(10^-6)*ROW(OpExpYearly[[#This Row],[ACTUAL]])</f>
        <v>12000.000034999999</v>
      </c>
      <c r="F35" s="26">
        <f>OpExpYearly[[#This Row],[ESTIMATED]]-OpExpYearly[[#This Row],[ACTUAL]]</f>
        <v>0</v>
      </c>
      <c r="G35" s="4"/>
    </row>
    <row r="36" spans="1:7" ht="15.75" x14ac:dyDescent="0.25">
      <c r="A36" s="4"/>
      <c r="B36" s="50" t="s">
        <v>27</v>
      </c>
      <c r="C36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12000</v>
      </c>
      <c r="D36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10800</v>
      </c>
      <c r="E36" s="16">
        <f>OpExpYearly[[#This Row],[ACTUAL]]+(10^-6)*ROW(OpExpYearly[[#This Row],[ACTUAL]])</f>
        <v>10800.000035999999</v>
      </c>
      <c r="F36" s="26">
        <f>OpExpYearly[[#This Row],[ESTIMATED]]-OpExpYearly[[#This Row],[ACTUAL]]</f>
        <v>1200</v>
      </c>
      <c r="G36" s="4"/>
    </row>
    <row r="37" spans="1:7" ht="15.75" x14ac:dyDescent="0.25">
      <c r="A37" s="4"/>
      <c r="B37" s="50" t="s">
        <v>41</v>
      </c>
      <c r="C37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10800</v>
      </c>
      <c r="D37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10080</v>
      </c>
      <c r="E37" s="16">
        <f>OpExpYearly[[#This Row],[ACTUAL]]+(10^-6)*ROW(OpExpYearly[[#This Row],[ACTUAL]])</f>
        <v>10080.000037</v>
      </c>
      <c r="F37" s="26">
        <f>OpExpYearly[[#This Row],[ESTIMATED]]-OpExpYearly[[#This Row],[ACTUAL]]</f>
        <v>720</v>
      </c>
      <c r="G37" s="4"/>
    </row>
    <row r="38" spans="1:7" ht="15.75" x14ac:dyDescent="0.25">
      <c r="A38" s="4"/>
      <c r="B38" s="50" t="s">
        <v>35</v>
      </c>
      <c r="C38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12000</v>
      </c>
      <c r="D38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9600</v>
      </c>
      <c r="E38" s="16">
        <f>OpExpYearly[[#This Row],[ACTUAL]]+(10^-6)*ROW(OpExpYearly[[#This Row],[ACTUAL]])</f>
        <v>9600.0000380000001</v>
      </c>
      <c r="F38" s="26">
        <f>OpExpYearly[[#This Row],[ESTIMATED]]-OpExpYearly[[#This Row],[ACTUAL]]</f>
        <v>2400</v>
      </c>
      <c r="G38" s="4"/>
    </row>
    <row r="39" spans="1:7" ht="15.75" x14ac:dyDescent="0.25">
      <c r="A39" s="4"/>
      <c r="B39" s="50" t="s">
        <v>45</v>
      </c>
      <c r="C39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10800</v>
      </c>
      <c r="D39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9600</v>
      </c>
      <c r="E39" s="16">
        <f>OpExpYearly[[#This Row],[ACTUAL]]+(10^-6)*ROW(OpExpYearly[[#This Row],[ACTUAL]])</f>
        <v>9600.0000390000005</v>
      </c>
      <c r="F39" s="26">
        <f>OpExpYearly[[#This Row],[ESTIMATED]]-OpExpYearly[[#This Row],[ACTUAL]]</f>
        <v>1200</v>
      </c>
      <c r="G39" s="4"/>
    </row>
    <row r="40" spans="1:7" ht="15.75" x14ac:dyDescent="0.25">
      <c r="A40" s="4"/>
      <c r="B40" s="50" t="s">
        <v>32</v>
      </c>
      <c r="C40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6000</v>
      </c>
      <c r="D40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6000</v>
      </c>
      <c r="E40" s="16">
        <f>OpExpYearly[[#This Row],[ACTUAL]]+(10^-6)*ROW(OpExpYearly[[#This Row],[ACTUAL]])</f>
        <v>6000.0000399999999</v>
      </c>
      <c r="F40" s="26">
        <f>OpExpYearly[[#This Row],[ESTIMATED]]-OpExpYearly[[#This Row],[ACTUAL]]</f>
        <v>0</v>
      </c>
      <c r="G40" s="4"/>
    </row>
    <row r="41" spans="1:7" ht="15.75" x14ac:dyDescent="0.25">
      <c r="A41" s="4"/>
      <c r="B41" s="50" t="s">
        <v>38</v>
      </c>
      <c r="C41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4800</v>
      </c>
      <c r="D41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5400</v>
      </c>
      <c r="E41" s="16">
        <f>OpExpYearly[[#This Row],[ACTUAL]]+(10^-6)*ROW(OpExpYearly[[#This Row],[ACTUAL]])</f>
        <v>5400.0000410000002</v>
      </c>
      <c r="F41" s="26">
        <f>OpExpYearly[[#This Row],[ESTIMATED]]-OpExpYearly[[#This Row],[ACTUAL]]</f>
        <v>-600</v>
      </c>
      <c r="G41" s="4"/>
    </row>
    <row r="42" spans="1:7" ht="15.75" x14ac:dyDescent="0.25">
      <c r="A42" s="4"/>
      <c r="B42" s="50" t="s">
        <v>40</v>
      </c>
      <c r="C42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4200</v>
      </c>
      <c r="D42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4800</v>
      </c>
      <c r="E42" s="16">
        <f>OpExpYearly[[#This Row],[ACTUAL]]+(10^-6)*ROW(OpExpYearly[[#This Row],[ACTUAL]])</f>
        <v>4800.0000419999997</v>
      </c>
      <c r="F42" s="26">
        <f>OpExpYearly[[#This Row],[ESTIMATED]]-OpExpYearly[[#This Row],[ACTUAL]]</f>
        <v>-600</v>
      </c>
      <c r="G42" s="4"/>
    </row>
    <row r="43" spans="1:7" ht="15.75" x14ac:dyDescent="0.25">
      <c r="A43" s="4"/>
      <c r="B43" s="50" t="s">
        <v>44</v>
      </c>
      <c r="C43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3000</v>
      </c>
      <c r="D43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3360</v>
      </c>
      <c r="E43" s="16">
        <f>OpExpYearly[[#This Row],[ACTUAL]]+(10^-6)*ROW(OpExpYearly[[#This Row],[ACTUAL]])</f>
        <v>3360.000043</v>
      </c>
      <c r="F43" s="26">
        <f>OpExpYearly[[#This Row],[ESTIMATED]]-OpExpYearly[[#This Row],[ACTUAL]]</f>
        <v>-360</v>
      </c>
      <c r="G43" s="4"/>
    </row>
    <row r="44" spans="1:7" ht="15.75" x14ac:dyDescent="0.25">
      <c r="A44" s="4"/>
      <c r="B44" s="50" t="s">
        <v>28</v>
      </c>
      <c r="C44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2400</v>
      </c>
      <c r="D44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2400</v>
      </c>
      <c r="E44" s="16">
        <f>OpExpYearly[[#This Row],[ACTUAL]]+(10^-6)*ROW(OpExpYearly[[#This Row],[ACTUAL]])</f>
        <v>2400.0000439999999</v>
      </c>
      <c r="F44" s="26">
        <f>OpExpYearly[[#This Row],[ESTIMATED]]-OpExpYearly[[#This Row],[ACTUAL]]</f>
        <v>0</v>
      </c>
      <c r="G44" s="4"/>
    </row>
    <row r="45" spans="1:7" ht="15.75" x14ac:dyDescent="0.25">
      <c r="A45" s="4"/>
      <c r="B45" s="50" t="s">
        <v>51</v>
      </c>
      <c r="C45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0</v>
      </c>
      <c r="D45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0</v>
      </c>
      <c r="E45" s="16">
        <f>OpExpYearly[[#This Row],[ACTUAL]]+(10^-6)*ROW(OpExpYearly[[#This Row],[ACTUAL]])</f>
        <v>4.4999999999999996E-5</v>
      </c>
      <c r="F45" s="26">
        <f>OpExpYearly[[#This Row],[ESTIMATED]]-OpExpYearly[[#This Row],[ACTUAL]]</f>
        <v>0</v>
      </c>
      <c r="G45" s="4"/>
    </row>
    <row r="46" spans="1:7" ht="15.75" x14ac:dyDescent="0.25">
      <c r="A46" s="4"/>
      <c r="B46" s="50" t="s">
        <v>51</v>
      </c>
      <c r="C46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0</v>
      </c>
      <c r="D46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0</v>
      </c>
      <c r="E46" s="16">
        <f>OpExpYearly[[#This Row],[ACTUAL]]+(10^-6)*ROW(OpExpYearly[[#This Row],[ACTUAL]])</f>
        <v>4.6E-5</v>
      </c>
      <c r="F46" s="26">
        <f>OpExpYearly[[#This Row],[ESTIMATED]]-OpExpYearly[[#This Row],[ACTUAL]]</f>
        <v>0</v>
      </c>
      <c r="G46" s="4"/>
    </row>
    <row r="47" spans="1:7" ht="15.75" x14ac:dyDescent="0.25">
      <c r="A47" s="4"/>
      <c r="B47" s="50" t="s">
        <v>51</v>
      </c>
      <c r="C47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0</v>
      </c>
      <c r="D47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0</v>
      </c>
      <c r="E47" s="16">
        <f>OpExpYearly[[#This Row],[ACTUAL]]+(10^-6)*ROW(OpExpYearly[[#This Row],[ACTUAL]])</f>
        <v>4.6999999999999997E-5</v>
      </c>
      <c r="F47" s="26">
        <f>OpExpYearly[[#This Row],[ESTIMATED]]-OpExpYearly[[#This Row],[ACTUAL]]</f>
        <v>0</v>
      </c>
      <c r="G47" s="4"/>
    </row>
    <row r="48" spans="1:7" ht="15.75" x14ac:dyDescent="0.25">
      <c r="A48" s="4"/>
      <c r="B48" s="50" t="s">
        <v>51</v>
      </c>
      <c r="C48" s="16">
        <f>OpExpJan[[#This Row],[ESTIMATED]]+OpExpFeb[[#This Row],[ESTIMATED]]+OpExpMarch[[#This Row],[ESTIMATED]]+OpExpApril[[#This Row],[ESTIMATED]]+OpExpMay[[#This Row],[ESTIMATED]]+OpExpJune[[#This Row],[ESTIMATED]]+OpExpJuly[[#This Row],[ESTIMATED]]+OpExpAugust[[#This Row],[ESTIMATED]]+OpExpSept[[#This Row],[ESTIMATED]]+OpExpOct[[#This Row],[ESTIMATED]]+OpExpNov[[#This Row],[ESTIMATED]]+OpExpDec[[#This Row],[ESTIMATED]]</f>
        <v>0</v>
      </c>
      <c r="D48" s="16">
        <f>OpExpJan[[#This Row],[ACTUAL]]+OpExpFeb[[#This Row],[ACTUAL]]+OpExpMarch[[#This Row],[ACTUAL]]+OpExpApril[[#This Row],[ACTUAL]]+OpExpMay[[#This Row],[ACTUAL]]+OpExpJune[[#This Row],[ACTUAL]]+OpExpJuly[[#This Row],[ACTUAL]]+OpExpAugust[[#This Row],[ACTUAL]]+OpExpSept[[#This Row],[ACTUAL]]+OpExpOct[[#This Row],[ACTUAL]]+OpExpNov[[#This Row],[ACTUAL]]+OpExpDec[[#This Row],[ACTUAL]]</f>
        <v>0</v>
      </c>
      <c r="E48" s="16">
        <f>OpExpYearly[[#This Row],[ACTUAL]]+(10^-6)*ROW(OpExpYearly[[#This Row],[ACTUAL]])</f>
        <v>4.8000000000000001E-5</v>
      </c>
      <c r="F48" s="26">
        <f>OpExpYearly[[#This Row],[ESTIMATED]]-OpExpYearly[[#This Row],[ACTUAL]]</f>
        <v>0</v>
      </c>
      <c r="G48" s="4"/>
    </row>
    <row r="49" spans="1:7" ht="15.75" x14ac:dyDescent="0.25">
      <c r="A49" s="4"/>
      <c r="B49" s="15" t="s">
        <v>21</v>
      </c>
      <c r="C49" s="31">
        <f>SUBTOTAL(109,OpExpYearly[ESTIMATED])</f>
        <v>643800</v>
      </c>
      <c r="D49" s="31">
        <f>SUBTOTAL(109,OpExpYearly[ACTUAL])</f>
        <v>658540</v>
      </c>
      <c r="E49" s="31"/>
      <c r="F49" s="37">
        <f>SUBTOTAL(109,OpExpYearly[DIFFERENCE])</f>
        <v>-14740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sqref="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42736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JanuaryIncome[[#Totals],[ESTIMATED]]</f>
        <v>65000</v>
      </c>
      <c r="D5" s="28">
        <f>JanuaryIncome[[#Totals],[ACTUAL]]</f>
        <v>72500</v>
      </c>
      <c r="E5" s="24">
        <f>TotalsTableJan[[#This Row],[ACTUAL]]-TotalsTableJan[[#This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OpExpJan[[#Totals],[ESTIMATED]]+PersonnelTableJan[[#Totals],[ESTIMATED]]</f>
        <v>89900</v>
      </c>
      <c r="D6" s="28">
        <f>OpExpJan[[#Totals],[ACTUAL]]+PersonnelTableJan[[#Totals],[ACTUAL]]</f>
        <v>85145</v>
      </c>
      <c r="E6" s="24">
        <f>TotalsTableJan[[#This Row],[ESTIMATED]]-TotalsTableJan[[#This Row],[ACTUAL]]</f>
        <v>4755</v>
      </c>
      <c r="F6" s="4"/>
    </row>
    <row r="7" spans="1:7" ht="15.75" x14ac:dyDescent="0.25">
      <c r="A7" s="4"/>
      <c r="B7" s="12" t="s">
        <v>7</v>
      </c>
      <c r="C7" s="29">
        <f>C5-C6</f>
        <v>-24900</v>
      </c>
      <c r="D7" s="29">
        <f>D5-D6</f>
        <v>-12645</v>
      </c>
      <c r="E7" s="29">
        <f>TotalsTableJan[[#Totals],[ACTUAL]]-TotalsTableJan[[#Totals],[ESTIMATED]]</f>
        <v>12255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INDEX(OpExpJan[],(MATCH(Top5ExpJan[[#This Row],[AMOUNT]],OpExpJan[TOP 5 AMOUNT],0)),1)</f>
        <v>Fertilizer</v>
      </c>
      <c r="C33" s="16">
        <f>LARGE(OpExpJan[TOP 5 AMOUNT],1)</f>
        <v>12000.000021</v>
      </c>
      <c r="D33" s="30">
        <f>Top5ExpJan[[#This Row],[AMOUNT]]/$D$6</f>
        <v>0.14093605051382935</v>
      </c>
      <c r="E33" s="16">
        <f>Top5ExpJan[[#This Row],[AMOUNT]]*0.15</f>
        <v>1800.0000031499999</v>
      </c>
      <c r="F33" s="4"/>
    </row>
    <row r="34" spans="1:6" ht="15.75" x14ac:dyDescent="0.25">
      <c r="A34" s="4"/>
      <c r="B34" s="6" t="str">
        <f>INDEX(OpExpJan[],(MATCH(Top5ExpJan[[#This Row],[AMOUNT]],OpExpJan[TOP 5 AMOUNT],0)),1)</f>
        <v>Seed</v>
      </c>
      <c r="C34" s="16">
        <f>LARGE(OpExpJan[TOP 5 AMOUNT],2)</f>
        <v>11000.000022</v>
      </c>
      <c r="D34" s="30">
        <f>Top5ExpJan[[#This Row],[AMOUNT]]/$D$6</f>
        <v>0.12919137966997474</v>
      </c>
      <c r="E34" s="16">
        <f>Top5ExpJan[[#This Row],[AMOUNT]]*0.15</f>
        <v>1650.0000032999999</v>
      </c>
      <c r="F34" s="4"/>
    </row>
    <row r="35" spans="1:6" ht="15.75" x14ac:dyDescent="0.25">
      <c r="A35" s="4"/>
      <c r="B35" s="6" t="str">
        <f>INDEX(OpExpJan[],(MATCH(Top5ExpJan[[#This Row],[AMOUNT]],OpExpJan[TOP 5 AMOUNT],0)),1)</f>
        <v>Pesticides/Chemicals</v>
      </c>
      <c r="C35" s="16">
        <f>LARGE(OpExpJan[TOP 5 AMOUNT],3)</f>
        <v>7000.0000229999996</v>
      </c>
      <c r="D35" s="30">
        <f>Top5ExpJan[[#This Row],[AMOUNT]]/$D$6</f>
        <v>8.2212696259322329E-2</v>
      </c>
      <c r="E35" s="16">
        <f>Top5ExpJan[[#This Row],[AMOUNT]]*0.15</f>
        <v>1050.0000034499999</v>
      </c>
      <c r="F35" s="4"/>
    </row>
    <row r="36" spans="1:6" ht="15.75" x14ac:dyDescent="0.25">
      <c r="A36" s="4"/>
      <c r="B36" s="6" t="str">
        <f>INDEX(OpExpJan[],(MATCH(Top5ExpJan[[#This Row],[AMOUNT]],OpExpJan[TOP 5 AMOUNT],0)),1)</f>
        <v>Feed</v>
      </c>
      <c r="C36" s="16">
        <f>LARGE(OpExpJan[TOP 5 AMOUNT],4)</f>
        <v>6000.0000239999999</v>
      </c>
      <c r="D36" s="30">
        <f>Top5ExpJan[[#This Row],[AMOUNT]]/$D$6</f>
        <v>7.0468025415467733E-2</v>
      </c>
      <c r="E36" s="16">
        <f>Top5ExpJan[[#This Row],[AMOUNT]]*0.15</f>
        <v>900.00000360000001</v>
      </c>
      <c r="F36" s="4"/>
    </row>
    <row r="37" spans="1:6" ht="15.75" x14ac:dyDescent="0.25">
      <c r="A37" s="4"/>
      <c r="B37" s="6" t="str">
        <f>INDEX(OpExpJan[],(MATCH(Top5ExpJan[[#This Row],[AMOUNT]],OpExpJan[TOP 5 AMOUNT],0)),1)</f>
        <v>Supplies</v>
      </c>
      <c r="C37" s="16">
        <f>LARGE(OpExpJan[TOP 5 AMOUNT],5)</f>
        <v>4500.0000259999997</v>
      </c>
      <c r="D37" s="30">
        <f>Top5ExpJan[[#This Row],[AMOUNT]]/$D$6</f>
        <v>5.2851019155558163E-2</v>
      </c>
      <c r="E37" s="16">
        <f>Top5ExpJan[[#This Row],[AMOUNT]]*0.15</f>
        <v>675.00000389999991</v>
      </c>
      <c r="F37" s="4"/>
    </row>
    <row r="38" spans="1:6" ht="15.75" x14ac:dyDescent="0.25">
      <c r="A38" s="4"/>
      <c r="B38" s="15" t="s">
        <v>13</v>
      </c>
      <c r="C38" s="31">
        <f>SUBTOTAL(109,Top5ExpJan[AMOUNT])</f>
        <v>40500.000116000003</v>
      </c>
      <c r="D38" s="32">
        <f>SUBTOTAL(109,Top5ExpJan[% OF EXPENSES])</f>
        <v>0.47565917101415228</v>
      </c>
      <c r="E38" s="31">
        <f>SUBTOTAL(109,Top5ExpJan[15% REDUCTION])</f>
        <v>6075.0000173999997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showFormulas="1" workbookViewId="0">
      <selection activeCell="B21" activeCellId="2" sqref="B6:D10 B14:D17 B21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</row>
    <row r="3" spans="1:7" ht="33" x14ac:dyDescent="0.45">
      <c r="B3" s="3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30000</v>
      </c>
      <c r="D6" s="51">
        <v>40000</v>
      </c>
      <c r="E6" s="19">
        <f>JanuaryIncome[[#This Row],[ACTUAL]]+(10^-6)*ROW(JanuaryIncome[[#This Row],[ACTUAL]])</f>
        <v>40000.000006000002</v>
      </c>
      <c r="F6" s="22">
        <f>JanuaryIncome[[#This Row],[ACTUAL]]-JanuaryIncome[[#This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25000</v>
      </c>
      <c r="D7" s="51">
        <v>23000</v>
      </c>
      <c r="E7" s="19">
        <f>JanuaryIncome[[#This Row],[ACTUAL]]+(10^-6)*ROW(JanuaryIncome[[#This Row],[ACTUAL]])</f>
        <v>23000.000006999999</v>
      </c>
      <c r="F7" s="22">
        <f>JanuaryIncome[[#This Row],[ACTUAL]]-JanuaryIncome[[#This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JanuaryIncome[[#This Row],[ACTUAL]]+(10^-6)*ROW(JanuaryIncome[[#This Row],[ACTUAL]])</f>
        <v>3000.000008</v>
      </c>
      <c r="F8" s="22">
        <f>JanuaryIncome[[#This Row],[ACTUAL]]-JanuaryIncome[[#This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JanuaryIncome[[#This Row],[ACTUAL]]+(10^-6)*ROW(JanuaryIncome[[#This Row],[ACTUAL]])</f>
        <v>3000.0000089999999</v>
      </c>
      <c r="F9" s="22">
        <f>JanuaryIncome[[#This Row],[ACTUAL]]-JanuaryIncome[[#This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JanuaryIncome[[#This Row],[ACTUAL]]+(10^-6)*ROW(JanuaryIncome[[#This Row],[ACTUAL]])</f>
        <v>3500.0000100000002</v>
      </c>
      <c r="F10" s="22">
        <f>JanuaryIncome[[#This Row],[ACTUAL]]-JanuaryIncome[[#This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SUBTOTAL(109,JanuaryIncome[ESTIMATED])</f>
        <v>65000</v>
      </c>
      <c r="D11" s="21">
        <f>SUBTOTAL(109,JanuaryIncome[ACTUAL])</f>
        <v>72500</v>
      </c>
      <c r="E11" s="21"/>
      <c r="F11" s="23">
        <f>SUBTOTAL(109,JanuaryIncome[DIFFERENCE])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9500</v>
      </c>
      <c r="D14" s="51">
        <v>9600</v>
      </c>
      <c r="E14" s="19">
        <f>PersonnelTableJan[[#This Row],[ACTUAL]]+(10^-6)*ROW(PersonnelTableJan[[#This Row],[ACTUAL]])</f>
        <v>9600.0000139999993</v>
      </c>
      <c r="F14" s="24">
        <f>PersonnelTableJan[[#This Row],[ESTIMATED]]-PersonnelTableJan[[#This Row],[ACTUAL]]</f>
        <v>-100</v>
      </c>
      <c r="G14" s="4"/>
    </row>
    <row r="15" spans="1:7" ht="15.75" x14ac:dyDescent="0.25">
      <c r="A15" s="4"/>
      <c r="B15" s="47" t="s">
        <v>24</v>
      </c>
      <c r="C15" s="51">
        <v>4000</v>
      </c>
      <c r="D15" s="51">
        <v>0</v>
      </c>
      <c r="E15" s="19">
        <f>PersonnelTableJan[[#This Row],[ACTUAL]]+(10^-6)*ROW(PersonnelTableJan[[#This Row],[ACTUAL]])</f>
        <v>1.4999999999999999E-5</v>
      </c>
      <c r="F15" s="24">
        <f>PersonnelTableJan[[#This Row],[ESTIMATED]]-PersonnelTableJan[[#This Row],[ACTUAL]]</f>
        <v>4000</v>
      </c>
      <c r="G15" s="4"/>
    </row>
    <row r="16" spans="1:7" ht="15.75" x14ac:dyDescent="0.25">
      <c r="A16" s="4"/>
      <c r="B16" s="47" t="s">
        <v>25</v>
      </c>
      <c r="C16" s="51">
        <v>5000</v>
      </c>
      <c r="D16" s="51">
        <v>5000</v>
      </c>
      <c r="E16" s="19">
        <f>PersonnelTableJan[[#This Row],[ACTUAL]]+(10^-6)*ROW(PersonnelTableJan[[#This Row],[ACTUAL]])</f>
        <v>5000.000016</v>
      </c>
      <c r="F16" s="24">
        <f>PersonnelTableJan[[#This Row],[ESTIMATED]]-PersonnelTableJan[[#This Row],[ACTUAL]]</f>
        <v>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PersonnelTableJan[[#This Row],[ACTUAL]]+(10^-6)*ROW(PersonnelTableJan[[#This Row],[ACTUAL]])</f>
        <v>1500.0000170000001</v>
      </c>
      <c r="F17" s="24">
        <f>PersonnelTableJan[[#This Row],[ESTIMATED]]-PersonnelTableJan[[#This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SUBTOTAL(109,PersonnelTableJan[ESTIMATED])</f>
        <v>20500</v>
      </c>
      <c r="D18" s="20">
        <f>SUBTOTAL(109,PersonnelTableJan[ACTUAL])</f>
        <v>16100</v>
      </c>
      <c r="E18" s="20"/>
      <c r="F18" s="25">
        <f>SUBTOTAL(109,PersonnelTableJan[DIFFERENCE])</f>
        <v>4400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15000</v>
      </c>
      <c r="D21" s="52">
        <v>12000</v>
      </c>
      <c r="E21" s="16">
        <f>OpExpJan[[#This Row],[ACTUAL]]+(10^-6)*ROW(OpExpJan[[#This Row],[ACTUAL]])</f>
        <v>12000.000021</v>
      </c>
      <c r="F21" s="26">
        <f>OpExpJan[[#This Row],[ESTIMATED]]-OpExpJan[[#This Row],[ACTUAL]]</f>
        <v>3000</v>
      </c>
      <c r="G21" s="4"/>
    </row>
    <row r="22" spans="1:7" ht="15.75" x14ac:dyDescent="0.25">
      <c r="A22" s="4"/>
      <c r="B22" s="50" t="s">
        <v>46</v>
      </c>
      <c r="C22" s="52">
        <v>10000</v>
      </c>
      <c r="D22" s="52">
        <v>11000</v>
      </c>
      <c r="E22" s="16">
        <f>OpExpJan[[#This Row],[ACTUAL]]+(10^-6)*ROW(OpExpJan[[#This Row],[ACTUAL]])</f>
        <v>11000.000022</v>
      </c>
      <c r="F22" s="26">
        <f>OpExpJan[[#This Row],[ESTIMATED]]-OpExpJan[[#This Row],[ACTUAL]]</f>
        <v>-1000</v>
      </c>
      <c r="G22" s="4"/>
    </row>
    <row r="23" spans="1:7" ht="15.75" x14ac:dyDescent="0.25">
      <c r="A23" s="4"/>
      <c r="B23" s="50" t="s">
        <v>48</v>
      </c>
      <c r="C23" s="52">
        <v>6000</v>
      </c>
      <c r="D23" s="52">
        <v>7000</v>
      </c>
      <c r="E23" s="16">
        <f>OpExpJan[[#This Row],[ACTUAL]]+(10^-6)*ROW(OpExpJan[[#This Row],[ACTUAL]])</f>
        <v>7000.0000229999996</v>
      </c>
      <c r="F23" s="26">
        <f>OpExpJan[[#This Row],[ESTIMATED]]-OpExpJan[[#This Row],[ACTUAL]]</f>
        <v>-1000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6000</v>
      </c>
      <c r="E24" s="16">
        <f>OpExpJan[[#This Row],[ACTUAL]]+(10^-6)*ROW(OpExpJan[[#This Row],[ACTUAL]])</f>
        <v>6000.0000239999999</v>
      </c>
      <c r="F24" s="26">
        <f>OpExpJan[[#This Row],[ESTIMATED]]-OpExpJan[[#This Row],[ACTUAL]]</f>
        <v>-1000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OpExpJan[[#This Row],[ACTUAL]]+(10^-6)*ROW(OpExpJan[[#This Row],[ACTUAL]])</f>
        <v>4500.0000250000003</v>
      </c>
      <c r="F25" s="26">
        <f>OpExpJan[[#This Row],[ESTIMATED]]-OpExpJan[[#This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OpExpJan[[#This Row],[ACTUAL]]+(10^-6)*ROW(OpExpJan[[#This Row],[ACTUAL]])</f>
        <v>4500.0000259999997</v>
      </c>
      <c r="F26" s="26">
        <f>OpExpJan[[#This Row],[ESTIMATED]]-OpExpJan[[#This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OpExpJan[[#This Row],[ACTUAL]]+(10^-6)*ROW(OpExpJan[[#This Row],[ACTUAL]])</f>
        <v>4000.000027</v>
      </c>
      <c r="F27" s="26">
        <f>OpExpJan[[#This Row],[ESTIMATED]]-OpExpJan[[#This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OpExpJan[[#This Row],[ACTUAL]]+(10^-6)*ROW(OpExpJan[[#This Row],[ACTUAL]])</f>
        <v>3500.0000279999999</v>
      </c>
      <c r="F28" s="26">
        <f>OpExpJan[[#This Row],[ESTIMATED]]-OpExpJan[[#This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OpExpJan[[#This Row],[ACTUAL]]+(10^-6)*ROW(OpExpJan[[#This Row],[ACTUAL]])</f>
        <v>3200.0000289999998</v>
      </c>
      <c r="F29" s="26">
        <f>OpExpJan[[#This Row],[ESTIMATED]]-OpExpJan[[#This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OpExpJan[[#This Row],[ACTUAL]]+(10^-6)*ROW(OpExpJan[[#This Row],[ACTUAL]])</f>
        <v>2200.0000300000002</v>
      </c>
      <c r="F30" s="26">
        <f>OpExpJan[[#This Row],[ESTIMATED]]-OpExpJan[[#This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OpExpJan[[#This Row],[ACTUAL]]+(10^-6)*ROW(OpExpJan[[#This Row],[ACTUAL]])</f>
        <v>1500.000031</v>
      </c>
      <c r="F31" s="26">
        <f>OpExpJan[[#This Row],[ESTIMATED]]-OpExpJan[[#This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OpExpJan[[#This Row],[ACTUAL]]+(10^-6)*ROW(OpExpJan[[#This Row],[ACTUAL]])</f>
        <v>1275.0000319999999</v>
      </c>
      <c r="F32" s="26">
        <f>OpExpJan[[#This Row],[ESTIMATED]]-OpExpJan[[#This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OpExpJan[[#This Row],[ACTUAL]]+(10^-6)*ROW(OpExpJan[[#This Row],[ACTUAL]])</f>
        <v>1200.000033</v>
      </c>
      <c r="F33" s="26">
        <f>OpExpJan[[#This Row],[ESTIMATED]]-OpExpJan[[#This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OpExpJan[[#This Row],[ACTUAL]]+(10^-6)*ROW(OpExpJan[[#This Row],[ACTUAL]])</f>
        <v>1000.000034</v>
      </c>
      <c r="F34" s="26">
        <f>OpExpJan[[#This Row],[ESTIMATED]]-OpExpJan[[#This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OpExpJan[[#This Row],[ACTUAL]]+(10^-6)*ROW(OpExpJan[[#This Row],[ACTUAL]])</f>
        <v>1000.000035</v>
      </c>
      <c r="F35" s="26">
        <f>OpExpJan[[#This Row],[ESTIMATED]]-OpExpJan[[#This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OpExpJan[[#This Row],[ACTUAL]]+(10^-6)*ROW(OpExpJan[[#This Row],[ACTUAL]])</f>
        <v>900.00003600000002</v>
      </c>
      <c r="F36" s="26">
        <f>OpExpJan[[#This Row],[ESTIMATED]]-OpExpJan[[#This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OpExpJan[[#This Row],[ACTUAL]]+(10^-6)*ROW(OpExpJan[[#This Row],[ACTUAL]])</f>
        <v>840.00003700000002</v>
      </c>
      <c r="F37" s="26">
        <f>OpExpJan[[#This Row],[ESTIMATED]]-OpExpJan[[#This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OpExpJan[[#This Row],[ACTUAL]]+(10^-6)*ROW(OpExpJan[[#This Row],[ACTUAL]])</f>
        <v>800.00003800000002</v>
      </c>
      <c r="F38" s="26">
        <f>OpExpJan[[#This Row],[ESTIMATED]]-OpExpJan[[#This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OpExpJan[[#This Row],[ACTUAL]]+(10^-6)*ROW(OpExpJan[[#This Row],[ACTUAL]])</f>
        <v>800.00003900000002</v>
      </c>
      <c r="F39" s="26">
        <f>OpExpJan[[#This Row],[ESTIMATED]]-OpExpJan[[#This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OpExpJan[[#This Row],[ACTUAL]]+(10^-6)*ROW(OpExpJan[[#This Row],[ACTUAL]])</f>
        <v>500.00004000000001</v>
      </c>
      <c r="F40" s="26">
        <f>OpExpJan[[#This Row],[ESTIMATED]]-OpExpJan[[#This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OpExpJan[[#This Row],[ACTUAL]]+(10^-6)*ROW(OpExpJan[[#This Row],[ACTUAL]])</f>
        <v>450.00004100000001</v>
      </c>
      <c r="F41" s="26">
        <f>OpExpJan[[#This Row],[ESTIMATED]]-OpExpJan[[#This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OpExpJan[[#This Row],[ACTUAL]]+(10^-6)*ROW(OpExpJan[[#This Row],[ACTUAL]])</f>
        <v>400.00004200000001</v>
      </c>
      <c r="F42" s="26">
        <f>OpExpJan[[#This Row],[ESTIMATED]]-OpExpJan[[#This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OpExpJan[[#This Row],[ACTUAL]]+(10^-6)*ROW(OpExpJan[[#This Row],[ACTUAL]])</f>
        <v>280.00004300000001</v>
      </c>
      <c r="F43" s="26">
        <f>OpExpJan[[#This Row],[ESTIMATED]]-OpExpJan[[#This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OpExpJan[[#This Row],[ACTUAL]]+(10^-6)*ROW(OpExpJan[[#This Row],[ACTUAL]])</f>
        <v>200.000044</v>
      </c>
      <c r="F44" s="26">
        <f>OpExpJan[[#This Row],[ESTIMATED]]-OpExpJan[[#This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OpExpJan[[#This Row],[ACTUAL]]+(10^-6)*ROW(OpExpJan[[#This Row],[ACTUAL]])</f>
        <v>4.4999999999999996E-5</v>
      </c>
      <c r="F45" s="26">
        <f>OpExpJan[[#This Row],[ESTIMATED]]-OpExpJan[[#This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OpExpJan[[#This Row],[ACTUAL]]+(10^-6)*ROW(OpExpJan[[#This Row],[ACTUAL]])</f>
        <v>4.6E-5</v>
      </c>
      <c r="F46" s="26">
        <f>OpExpJan[[#This Row],[ESTIMATED]]-OpExpJan[[#This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OpExpJan[[#This Row],[ACTUAL]]+(10^-6)*ROW(OpExpJan[[#This Row],[ACTUAL]])</f>
        <v>4.6999999999999997E-5</v>
      </c>
      <c r="F47" s="26">
        <f>OpExpJan[[#This Row],[ESTIMATED]]-OpExpJan[[#This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OpExpJan[[#This Row],[ACTUAL]]+(10^-6)*ROW(OpExpJan[[#This Row],[ACTUAL]])</f>
        <v>4.8000000000000001E-5</v>
      </c>
      <c r="F48" s="26">
        <f>OpExpJan[[#This Row],[ESTIMATED]]-OpExpJan[[#This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SUBTOTAL(109,OpExpJan[ESTIMATED])</f>
        <v>69400</v>
      </c>
      <c r="D49" s="18">
        <f>SUBTOTAL(109,OpExpJan[ACTUAL])</f>
        <v>69045</v>
      </c>
      <c r="E49" s="18"/>
      <c r="F49" s="27">
        <f>SUBTOTAL(109,OpExpJan[DIFFERENCE])</f>
        <v>355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sqref="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42767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FebIncome[[#Totals],[ESTIMATED]]</f>
        <v>90000</v>
      </c>
      <c r="D5" s="28">
        <f>FebIncome[[#Totals],[ACTUAL]]</f>
        <v>97500</v>
      </c>
      <c r="E5" s="24">
        <f>TotalsTableFeb[[#This Row],[ACTUAL]]-TotalsTableFeb[[#This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OpExpFeb[[#Totals],[ESTIMATED]]+PersonnelTableFeb[[#Totals],[ESTIMATED]]</f>
        <v>80900</v>
      </c>
      <c r="D6" s="28">
        <f>OpExpFeb[[#Totals],[ACTUAL]]+PersonnelTableFeb[[#Totals],[ACTUAL]]</f>
        <v>75145</v>
      </c>
      <c r="E6" s="24">
        <f>TotalsTableFeb[[#This Row],[ESTIMATED]]-TotalsTableFeb[[#This Row],[ACTUAL]]</f>
        <v>5755</v>
      </c>
      <c r="F6" s="4"/>
    </row>
    <row r="7" spans="1:7" ht="15.75" x14ac:dyDescent="0.25">
      <c r="A7" s="4"/>
      <c r="B7" s="12" t="s">
        <v>7</v>
      </c>
      <c r="C7" s="29">
        <f>C5-C6</f>
        <v>9100</v>
      </c>
      <c r="D7" s="29">
        <f>D5-D6</f>
        <v>22355</v>
      </c>
      <c r="E7" s="29">
        <f>TotalsTableFeb[[#Totals],[ACTUAL]]-TotalsTableFeb[[#Totals],[ESTIMATED]]</f>
        <v>13255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INDEX(OpExpFeb[],(MATCH(Top5ExpFeb[[#This Row],[AMOUNT]],OpExpFeb[TOP 5 AMOUNT],0)),1)</f>
        <v>Seed</v>
      </c>
      <c r="C33" s="16">
        <f>LARGE(OpExpFeb[TOP 5 AMOUNT],1)</f>
        <v>11000.000022</v>
      </c>
      <c r="D33" s="30">
        <f>Top5ExpFeb[[#This Row],[AMOUNT]]/$D$6</f>
        <v>0.1463836585534633</v>
      </c>
      <c r="E33" s="16">
        <f>Top5ExpFeb[[#This Row],[AMOUNT]]*0.15</f>
        <v>1650.0000032999999</v>
      </c>
      <c r="F33" s="4"/>
    </row>
    <row r="34" spans="1:6" ht="15.75" x14ac:dyDescent="0.25">
      <c r="A34" s="4"/>
      <c r="B34" s="6" t="str">
        <f>INDEX(OpExpFeb[],(MATCH(Top5ExpFeb[[#This Row],[AMOUNT]],OpExpFeb[TOP 5 AMOUNT],0)),1)</f>
        <v>Fertilizer</v>
      </c>
      <c r="C34" s="16">
        <f>LARGE(OpExpFeb[TOP 5 AMOUNT],2)</f>
        <v>8000.0000209999998</v>
      </c>
      <c r="D34" s="30">
        <f>Top5ExpFeb[[#This Row],[AMOUNT]]/$D$6</f>
        <v>0.10646084265087498</v>
      </c>
      <c r="E34" s="16">
        <f>Top5ExpFeb[[#This Row],[AMOUNT]]*0.15</f>
        <v>1200.0000031499999</v>
      </c>
      <c r="F34" s="4"/>
    </row>
    <row r="35" spans="1:6" ht="15.75" x14ac:dyDescent="0.25">
      <c r="A35" s="4"/>
      <c r="B35" s="6" t="str">
        <f>INDEX(OpExpFeb[],(MATCH(Top5ExpFeb[[#This Row],[AMOUNT]],OpExpFeb[TOP 5 AMOUNT],0)),1)</f>
        <v>Supplies</v>
      </c>
      <c r="C35" s="16">
        <f>LARGE(OpExpFeb[TOP 5 AMOUNT],3)</f>
        <v>4500.0000259999997</v>
      </c>
      <c r="D35" s="30">
        <f>Top5ExpFeb[[#This Row],[AMOUNT]]/$D$6</f>
        <v>5.9884224179918823E-2</v>
      </c>
      <c r="E35" s="16">
        <f>Top5ExpFeb[[#This Row],[AMOUNT]]*0.15</f>
        <v>675.00000389999991</v>
      </c>
      <c r="F35" s="4"/>
    </row>
    <row r="36" spans="1:6" ht="15.75" x14ac:dyDescent="0.25">
      <c r="A36" s="4"/>
      <c r="B36" s="6" t="str">
        <f>INDEX(OpExpFeb[],(MATCH(Top5ExpFeb[[#This Row],[AMOUNT]],OpExpFeb[TOP 5 AMOUNT],0)),1)</f>
        <v>Rent or Mortgage</v>
      </c>
      <c r="C36" s="16">
        <f>LARGE(OpExpFeb[TOP 5 AMOUNT],4)</f>
        <v>4500.0000250000003</v>
      </c>
      <c r="D36" s="30">
        <f>Top5ExpFeb[[#This Row],[AMOUNT]]/$D$6</f>
        <v>5.9884224166611225E-2</v>
      </c>
      <c r="E36" s="16">
        <f>Top5ExpFeb[[#This Row],[AMOUNT]]*0.15</f>
        <v>675.00000375000002</v>
      </c>
      <c r="F36" s="4"/>
    </row>
    <row r="37" spans="1:6" ht="15.75" x14ac:dyDescent="0.25">
      <c r="A37" s="4"/>
      <c r="B37" s="6" t="str">
        <f>INDEX(OpExpFeb[],(MATCH(Top5ExpFeb[[#This Row],[AMOUNT]],OpExpFeb[TOP 5 AMOUNT],0)),1)</f>
        <v>Maintenance and Repairs</v>
      </c>
      <c r="C37" s="16">
        <f>LARGE(OpExpFeb[TOP 5 AMOUNT],5)</f>
        <v>4000.000027</v>
      </c>
      <c r="D37" s="30">
        <f>Top5ExpFeb[[#This Row],[AMOUNT]]/$D$6</f>
        <v>5.3230421545012972E-2</v>
      </c>
      <c r="E37" s="16">
        <f>Top5ExpFeb[[#This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SUBTOTAL(109,Top5ExpFeb[AMOUNT])</f>
        <v>32000.000121000005</v>
      </c>
      <c r="D38" s="32">
        <f>SUBTOTAL(109,Top5ExpFeb[% OF EXPENSES])</f>
        <v>0.42584337109588127</v>
      </c>
      <c r="E38" s="31">
        <f>SUBTOTAL(109,Top5ExpFeb[15% REDUCTION])</f>
        <v>4800.00001815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opLeftCell="A7" workbookViewId="0">
      <selection activeCell="B21" activeCellId="2" sqref="B6:D10 B14:D17 B21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</row>
    <row r="3" spans="1:7" ht="33" x14ac:dyDescent="0.45">
      <c r="B3" s="3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FebIncome[[#This Row],[ACTUAL]]+(10^-6)*ROW(FebIncome[[#This Row],[ACTUAL]])</f>
        <v>60000.000006000002</v>
      </c>
      <c r="F6" s="22">
        <f>FebIncome[[#This Row],[ACTUAL]]-FebIncome[[#This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FebIncome[[#This Row],[ACTUAL]]+(10^-6)*ROW(FebIncome[[#This Row],[ACTUAL]])</f>
        <v>28000.000006999999</v>
      </c>
      <c r="F7" s="22">
        <f>FebIncome[[#This Row],[ACTUAL]]-FebIncome[[#This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FebIncome[[#This Row],[ACTUAL]]+(10^-6)*ROW(FebIncome[[#This Row],[ACTUAL]])</f>
        <v>3000.000008</v>
      </c>
      <c r="F8" s="22">
        <f>FebIncome[[#This Row],[ACTUAL]]-FebIncome[[#This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FebIncome[[#This Row],[ACTUAL]]+(10^-6)*ROW(FebIncome[[#This Row],[ACTUAL]])</f>
        <v>3000.0000089999999</v>
      </c>
      <c r="F9" s="22">
        <f>FebIncome[[#This Row],[ACTUAL]]-FebIncome[[#This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FebIncome[[#This Row],[ACTUAL]]+(10^-6)*ROW(FebIncome[[#This Row],[ACTUAL]])</f>
        <v>3500.0000100000002</v>
      </c>
      <c r="F10" s="22">
        <f>FebIncome[[#This Row],[ACTUAL]]-FebIncome[[#This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SUBTOTAL(109,FebIncome[ESTIMATED])</f>
        <v>90000</v>
      </c>
      <c r="D11" s="21">
        <f>SUBTOTAL(109,FebIncome[ACTUAL])</f>
        <v>97500</v>
      </c>
      <c r="E11" s="21"/>
      <c r="F11" s="23">
        <f>SUBTOTAL(109,FebIncome[DIFFERENCE])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9500</v>
      </c>
      <c r="D14" s="51">
        <v>9600</v>
      </c>
      <c r="E14" s="19">
        <f>PersonnelTableFeb[[#This Row],[ACTUAL]]+(10^-6)*ROW(PersonnelTableFeb[[#This Row],[ACTUAL]])</f>
        <v>9600.0000139999993</v>
      </c>
      <c r="F14" s="24">
        <f>PersonnelTableFeb[[#This Row],[ESTIMATED]]-PersonnelTableFeb[[#This Row],[ACTUAL]]</f>
        <v>-100</v>
      </c>
      <c r="G14" s="4"/>
    </row>
    <row r="15" spans="1:7" ht="15.75" x14ac:dyDescent="0.25">
      <c r="A15" s="4"/>
      <c r="B15" s="47" t="s">
        <v>24</v>
      </c>
      <c r="C15" s="51">
        <v>4000</v>
      </c>
      <c r="D15" s="51">
        <v>0</v>
      </c>
      <c r="E15" s="19">
        <f>PersonnelTableFeb[[#This Row],[ACTUAL]]+(10^-6)*ROW(PersonnelTableFeb[[#This Row],[ACTUAL]])</f>
        <v>1.4999999999999999E-5</v>
      </c>
      <c r="F15" s="24">
        <f>PersonnelTableFeb[[#This Row],[ESTIMATED]]-PersonnelTableFeb[[#This Row],[ACTUAL]]</f>
        <v>4000</v>
      </c>
      <c r="G15" s="4"/>
    </row>
    <row r="16" spans="1:7" ht="15.75" x14ac:dyDescent="0.25">
      <c r="A16" s="4"/>
      <c r="B16" s="47" t="s">
        <v>25</v>
      </c>
      <c r="C16" s="51">
        <v>5000</v>
      </c>
      <c r="D16" s="51">
        <v>5000</v>
      </c>
      <c r="E16" s="19">
        <f>PersonnelTableFeb[[#This Row],[ACTUAL]]+(10^-6)*ROW(PersonnelTableFeb[[#This Row],[ACTUAL]])</f>
        <v>5000.000016</v>
      </c>
      <c r="F16" s="24">
        <f>PersonnelTableFeb[[#This Row],[ESTIMATED]]-PersonnelTableFeb[[#This Row],[ACTUAL]]</f>
        <v>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PersonnelTableFeb[[#This Row],[ACTUAL]]+(10^-6)*ROW(PersonnelTableFeb[[#This Row],[ACTUAL]])</f>
        <v>1500.0000170000001</v>
      </c>
      <c r="F17" s="24">
        <f>PersonnelTableFeb[[#This Row],[ESTIMATED]]-PersonnelTableFeb[[#This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SUBTOTAL(109,PersonnelTableFeb[ESTIMATED])</f>
        <v>20500</v>
      </c>
      <c r="D18" s="20">
        <f>SUBTOTAL(109,PersonnelTableFeb[ACTUAL])</f>
        <v>16100</v>
      </c>
      <c r="E18" s="20"/>
      <c r="F18" s="25">
        <f>SUBTOTAL(109,PersonnelTableFeb[DIFFERENCE])</f>
        <v>4400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10000</v>
      </c>
      <c r="D21" s="52">
        <v>8000</v>
      </c>
      <c r="E21" s="16">
        <f>OpExpFeb[[#This Row],[ACTUAL]]+(10^-6)*ROW(OpExpFeb[[#This Row],[ACTUAL]])</f>
        <v>8000.0000209999998</v>
      </c>
      <c r="F21" s="26">
        <f>OpExpFeb[[#This Row],[ESTIMATED]]-OpExpFeb[[#This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10000</v>
      </c>
      <c r="D22" s="52">
        <v>11000</v>
      </c>
      <c r="E22" s="16">
        <f>OpExpFeb[[#This Row],[ACTUAL]]+(10^-6)*ROW(OpExpFeb[[#This Row],[ACTUAL]])</f>
        <v>11000.000022</v>
      </c>
      <c r="F22" s="26">
        <f>OpExpFeb[[#This Row],[ESTIMATED]]-OpExpFeb[[#This Row],[ACTUAL]]</f>
        <v>-1000</v>
      </c>
      <c r="G22" s="4"/>
    </row>
    <row r="23" spans="1:7" ht="15.75" x14ac:dyDescent="0.25">
      <c r="A23" s="4"/>
      <c r="B23" s="50" t="s">
        <v>48</v>
      </c>
      <c r="C23" s="52">
        <v>3000</v>
      </c>
      <c r="D23" s="52">
        <v>4000</v>
      </c>
      <c r="E23" s="16">
        <f>OpExpFeb[[#This Row],[ACTUAL]]+(10^-6)*ROW(OpExpFeb[[#This Row],[ACTUAL]])</f>
        <v>4000.0000230000001</v>
      </c>
      <c r="F23" s="26">
        <f>OpExpFeb[[#This Row],[ESTIMATED]]-OpExpFeb[[#This Row],[ACTUAL]]</f>
        <v>-1000</v>
      </c>
      <c r="G23" s="4"/>
    </row>
    <row r="24" spans="1:7" ht="15.75" x14ac:dyDescent="0.25">
      <c r="A24" s="4"/>
      <c r="B24" s="50" t="s">
        <v>49</v>
      </c>
      <c r="C24" s="52">
        <v>4000</v>
      </c>
      <c r="D24" s="52">
        <v>3000</v>
      </c>
      <c r="E24" s="16">
        <f>OpExpFeb[[#This Row],[ACTUAL]]+(10^-6)*ROW(OpExpFeb[[#This Row],[ACTUAL]])</f>
        <v>3000.0000239999999</v>
      </c>
      <c r="F24" s="26">
        <f>OpExpFeb[[#This Row],[ESTIMATED]]-OpExpFeb[[#This Row],[ACTUAL]]</f>
        <v>1000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OpExpFeb[[#This Row],[ACTUAL]]+(10^-6)*ROW(OpExpFeb[[#This Row],[ACTUAL]])</f>
        <v>4500.0000250000003</v>
      </c>
      <c r="F25" s="26">
        <f>OpExpFeb[[#This Row],[ESTIMATED]]-OpExpFeb[[#This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OpExpFeb[[#This Row],[ACTUAL]]+(10^-6)*ROW(OpExpFeb[[#This Row],[ACTUAL]])</f>
        <v>4500.0000259999997</v>
      </c>
      <c r="F26" s="26">
        <f>OpExpFeb[[#This Row],[ESTIMATED]]-OpExpFeb[[#This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OpExpFeb[[#This Row],[ACTUAL]]+(10^-6)*ROW(OpExpFeb[[#This Row],[ACTUAL]])</f>
        <v>4000.000027</v>
      </c>
      <c r="F27" s="26">
        <f>OpExpFeb[[#This Row],[ESTIMATED]]-OpExpFeb[[#This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OpExpFeb[[#This Row],[ACTUAL]]+(10^-6)*ROW(OpExpFeb[[#This Row],[ACTUAL]])</f>
        <v>3500.0000279999999</v>
      </c>
      <c r="F28" s="26">
        <f>OpExpFeb[[#This Row],[ESTIMATED]]-OpExpFeb[[#This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OpExpFeb[[#This Row],[ACTUAL]]+(10^-6)*ROW(OpExpFeb[[#This Row],[ACTUAL]])</f>
        <v>3200.0000289999998</v>
      </c>
      <c r="F29" s="26">
        <f>OpExpFeb[[#This Row],[ESTIMATED]]-OpExpFeb[[#This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OpExpFeb[[#This Row],[ACTUAL]]+(10^-6)*ROW(OpExpFeb[[#This Row],[ACTUAL]])</f>
        <v>2200.0000300000002</v>
      </c>
      <c r="F30" s="26">
        <f>OpExpFeb[[#This Row],[ESTIMATED]]-OpExpFeb[[#This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OpExpFeb[[#This Row],[ACTUAL]]+(10^-6)*ROW(OpExpFeb[[#This Row],[ACTUAL]])</f>
        <v>1500.000031</v>
      </c>
      <c r="F31" s="26">
        <f>OpExpFeb[[#This Row],[ESTIMATED]]-OpExpFeb[[#This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OpExpFeb[[#This Row],[ACTUAL]]+(10^-6)*ROW(OpExpFeb[[#This Row],[ACTUAL]])</f>
        <v>1275.0000319999999</v>
      </c>
      <c r="F32" s="26">
        <f>OpExpFeb[[#This Row],[ESTIMATED]]-OpExpFeb[[#This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OpExpFeb[[#This Row],[ACTUAL]]+(10^-6)*ROW(OpExpFeb[[#This Row],[ACTUAL]])</f>
        <v>1200.000033</v>
      </c>
      <c r="F33" s="26">
        <f>OpExpFeb[[#This Row],[ESTIMATED]]-OpExpFeb[[#This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OpExpFeb[[#This Row],[ACTUAL]]+(10^-6)*ROW(OpExpFeb[[#This Row],[ACTUAL]])</f>
        <v>1000.000034</v>
      </c>
      <c r="F34" s="26">
        <f>OpExpFeb[[#This Row],[ESTIMATED]]-OpExpFeb[[#This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OpExpFeb[[#This Row],[ACTUAL]]+(10^-6)*ROW(OpExpFeb[[#This Row],[ACTUAL]])</f>
        <v>1000.000035</v>
      </c>
      <c r="F35" s="26">
        <f>OpExpFeb[[#This Row],[ESTIMATED]]-OpExpFeb[[#This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OpExpFeb[[#This Row],[ACTUAL]]+(10^-6)*ROW(OpExpFeb[[#This Row],[ACTUAL]])</f>
        <v>900.00003600000002</v>
      </c>
      <c r="F36" s="26">
        <f>OpExpFeb[[#This Row],[ESTIMATED]]-OpExpFeb[[#This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OpExpFeb[[#This Row],[ACTUAL]]+(10^-6)*ROW(OpExpFeb[[#This Row],[ACTUAL]])</f>
        <v>840.00003700000002</v>
      </c>
      <c r="F37" s="26">
        <f>OpExpFeb[[#This Row],[ESTIMATED]]-OpExpFeb[[#This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OpExpFeb[[#This Row],[ACTUAL]]+(10^-6)*ROW(OpExpFeb[[#This Row],[ACTUAL]])</f>
        <v>800.00003800000002</v>
      </c>
      <c r="F38" s="26">
        <f>OpExpFeb[[#This Row],[ESTIMATED]]-OpExpFeb[[#This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OpExpFeb[[#This Row],[ACTUAL]]+(10^-6)*ROW(OpExpFeb[[#This Row],[ACTUAL]])</f>
        <v>800.00003900000002</v>
      </c>
      <c r="F39" s="26">
        <f>OpExpFeb[[#This Row],[ESTIMATED]]-OpExpFeb[[#This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OpExpFeb[[#This Row],[ACTUAL]]+(10^-6)*ROW(OpExpFeb[[#This Row],[ACTUAL]])</f>
        <v>500.00004000000001</v>
      </c>
      <c r="F40" s="26">
        <f>OpExpFeb[[#This Row],[ESTIMATED]]-OpExpFeb[[#This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OpExpFeb[[#This Row],[ACTUAL]]+(10^-6)*ROW(OpExpFeb[[#This Row],[ACTUAL]])</f>
        <v>450.00004100000001</v>
      </c>
      <c r="F41" s="26">
        <f>OpExpFeb[[#This Row],[ESTIMATED]]-OpExpFeb[[#This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OpExpFeb[[#This Row],[ACTUAL]]+(10^-6)*ROW(OpExpFeb[[#This Row],[ACTUAL]])</f>
        <v>400.00004200000001</v>
      </c>
      <c r="F42" s="26">
        <f>OpExpFeb[[#This Row],[ESTIMATED]]-OpExpFeb[[#This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OpExpFeb[[#This Row],[ACTUAL]]+(10^-6)*ROW(OpExpFeb[[#This Row],[ACTUAL]])</f>
        <v>280.00004300000001</v>
      </c>
      <c r="F43" s="26">
        <f>OpExpFeb[[#This Row],[ESTIMATED]]-OpExpFeb[[#This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OpExpFeb[[#This Row],[ACTUAL]]+(10^-6)*ROW(OpExpFeb[[#This Row],[ACTUAL]])</f>
        <v>200.000044</v>
      </c>
      <c r="F44" s="26">
        <f>OpExpFeb[[#This Row],[ESTIMATED]]-OpExpFeb[[#This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OpExpFeb[[#This Row],[ACTUAL]]+(10^-6)*ROW(OpExpFeb[[#This Row],[ACTUAL]])</f>
        <v>4.4999999999999996E-5</v>
      </c>
      <c r="F45" s="26">
        <f>OpExpFeb[[#This Row],[ESTIMATED]]-OpExpFeb[[#This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OpExpFeb[[#This Row],[ACTUAL]]+(10^-6)*ROW(OpExpFeb[[#This Row],[ACTUAL]])</f>
        <v>4.6E-5</v>
      </c>
      <c r="F46" s="26">
        <f>OpExpFeb[[#This Row],[ESTIMATED]]-OpExpFeb[[#This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OpExpFeb[[#This Row],[ACTUAL]]+(10^-6)*ROW(OpExpFeb[[#This Row],[ACTUAL]])</f>
        <v>4.6999999999999997E-5</v>
      </c>
      <c r="F47" s="26">
        <f>OpExpFeb[[#This Row],[ESTIMATED]]-OpExpFeb[[#This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OpExpFeb[[#This Row],[ACTUAL]]+(10^-6)*ROW(OpExpFeb[[#This Row],[ACTUAL]])</f>
        <v>4.8000000000000001E-5</v>
      </c>
      <c r="F48" s="26">
        <f>OpExpFeb[[#This Row],[ESTIMATED]]-OpExpFeb[[#This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SUBTOTAL(109,OpExpFeb[ESTIMATED])</f>
        <v>60400</v>
      </c>
      <c r="D49" s="18">
        <f>SUBTOTAL(109,OpExpFeb[ACTUAL])</f>
        <v>59045</v>
      </c>
      <c r="E49" s="18"/>
      <c r="F49" s="27">
        <f>SUBTOTAL(109,OpExpFeb[DIFFERENCE])</f>
        <v>1355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sqref="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42795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MarchIncome[[#Totals],[ESTIMATED]]</f>
        <v>90000</v>
      </c>
      <c r="D5" s="28">
        <f>MarchIncome[[#Totals],[ACTUAL]]</f>
        <v>97500</v>
      </c>
      <c r="E5" s="24">
        <f>TotalsTableMarch[[#This Row],[ACTUAL]]-TotalsTableMarch[[#This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OpExpMarch[[#Totals],[ESTIMATED]]+PersonnelTableMarch[[#Totals],[ESTIMATED]]</f>
        <v>64400</v>
      </c>
      <c r="D6" s="28">
        <f>OpExpMarch[[#Totals],[ACTUAL]]+PersonnelTableMarch[[#Totals],[ACTUAL]]</f>
        <v>62145</v>
      </c>
      <c r="E6" s="24">
        <f>TotalsTableMarch[[#This Row],[ESTIMATED]]-TotalsTableMarch[[#This Row],[ACTUAL]]</f>
        <v>2255</v>
      </c>
      <c r="F6" s="4"/>
    </row>
    <row r="7" spans="1:7" ht="15.75" x14ac:dyDescent="0.25">
      <c r="A7" s="4"/>
      <c r="B7" s="12" t="s">
        <v>7</v>
      </c>
      <c r="C7" s="29">
        <f>C5-C6</f>
        <v>25600</v>
      </c>
      <c r="D7" s="29">
        <f>D5-D6</f>
        <v>35355</v>
      </c>
      <c r="E7" s="29">
        <f>TotalsTableMarch[[#Totals],[ACTUAL]]-TotalsTableMarch[[#Totals],[ESTIMATED]]</f>
        <v>9755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INDEX(OpExpMarch[],(MATCH(Top5ExpMarch[[#This Row],[AMOUNT]],OpExpMarch[TOP 5 AMOUNT],0)),1)</f>
        <v>Pesticides/Chemicals</v>
      </c>
      <c r="C33" s="16">
        <f>LARGE(OpExpMarch[TOP 5 AMOUNT],1)</f>
        <v>10000.000023000001</v>
      </c>
      <c r="D33" s="30">
        <f>Top5ExpMarch[[#This Row],[AMOUNT]]/$D$6</f>
        <v>0.16091399184166064</v>
      </c>
      <c r="E33" s="16">
        <f>Top5ExpMarch[[#This Row],[AMOUNT]]*0.15</f>
        <v>1500.0000034500001</v>
      </c>
      <c r="F33" s="4"/>
    </row>
    <row r="34" spans="1:6" ht="15.75" x14ac:dyDescent="0.25">
      <c r="A34" s="4"/>
      <c r="B34" s="6" t="str">
        <f>INDEX(OpExpMarch[],(MATCH(Top5ExpMarch[[#This Row],[AMOUNT]],OpExpMarch[TOP 5 AMOUNT],0)),1)</f>
        <v>Feed</v>
      </c>
      <c r="C34" s="16">
        <f>LARGE(OpExpMarch[TOP 5 AMOUNT],2)</f>
        <v>7000.0000239999999</v>
      </c>
      <c r="D34" s="30">
        <f>Top5ExpMarch[[#This Row],[AMOUNT]]/$D$6</f>
        <v>0.11263979441628449</v>
      </c>
      <c r="E34" s="16">
        <f>Top5ExpMarch[[#This Row],[AMOUNT]]*0.15</f>
        <v>1050.0000035999999</v>
      </c>
      <c r="F34" s="4"/>
    </row>
    <row r="35" spans="1:6" ht="15.75" x14ac:dyDescent="0.25">
      <c r="A35" s="4"/>
      <c r="B35" s="6" t="str">
        <f>INDEX(OpExpMarch[],(MATCH(Top5ExpMarch[[#This Row],[AMOUNT]],OpExpMarch[TOP 5 AMOUNT],0)),1)</f>
        <v>Supplies</v>
      </c>
      <c r="C35" s="16">
        <f>LARGE(OpExpMarch[TOP 5 AMOUNT],3)</f>
        <v>4500.0000259999997</v>
      </c>
      <c r="D35" s="30">
        <f>Top5ExpMarch[[#This Row],[AMOUNT]]/$D$6</f>
        <v>7.2411296580577683E-2</v>
      </c>
      <c r="E35" s="16">
        <f>Top5ExpMarch[[#This Row],[AMOUNT]]*0.15</f>
        <v>675.00000389999991</v>
      </c>
      <c r="F35" s="4"/>
    </row>
    <row r="36" spans="1:6" ht="15.75" x14ac:dyDescent="0.25">
      <c r="A36" s="4"/>
      <c r="B36" s="6" t="str">
        <f>INDEX(OpExpMarch[],(MATCH(Top5ExpMarch[[#This Row],[AMOUNT]],OpExpMarch[TOP 5 AMOUNT],0)),1)</f>
        <v>Rent or Mortgage</v>
      </c>
      <c r="C36" s="16">
        <f>LARGE(OpExpMarch[TOP 5 AMOUNT],4)</f>
        <v>4500.0000250000003</v>
      </c>
      <c r="D36" s="30">
        <f>Top5ExpMarch[[#This Row],[AMOUNT]]/$D$6</f>
        <v>7.2411296564486291E-2</v>
      </c>
      <c r="E36" s="16">
        <f>Top5ExpMarch[[#This Row],[AMOUNT]]*0.15</f>
        <v>675.00000375000002</v>
      </c>
      <c r="F36" s="4"/>
    </row>
    <row r="37" spans="1:6" ht="15.75" x14ac:dyDescent="0.25">
      <c r="A37" s="4"/>
      <c r="B37" s="6" t="str">
        <f>INDEX(OpExpMarch[],(MATCH(Top5ExpMarch[[#This Row],[AMOUNT]],OpExpMarch[TOP 5 AMOUNT],0)),1)</f>
        <v>Maintenance and Repairs</v>
      </c>
      <c r="C37" s="16">
        <f>LARGE(OpExpMarch[TOP 5 AMOUNT],5)</f>
        <v>4000.000027</v>
      </c>
      <c r="D37" s="30">
        <f>Top5ExpMarch[[#This Row],[AMOUNT]]/$D$6</f>
        <v>6.4365597023091164E-2</v>
      </c>
      <c r="E37" s="16">
        <f>Top5ExpMarch[[#This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SUBTOTAL(109,Top5ExpMarch[AMOUNT])</f>
        <v>30000.000125000006</v>
      </c>
      <c r="D38" s="32">
        <f>SUBTOTAL(109,Top5ExpMarch[% OF EXPENSES])</f>
        <v>0.48274197642610028</v>
      </c>
      <c r="E38" s="31">
        <f>SUBTOTAL(109,Top5ExpMarch[15% REDUCTION])</f>
        <v>4500.00001875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opLeftCell="A8" workbookViewId="0">
      <selection activeCell="B48" activeCellId="5" sqref="B6:D10 B2:B3 B14:D17 B21:D47 D48 B48:C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</row>
    <row r="3" spans="1:7" ht="33" x14ac:dyDescent="0.45">
      <c r="B3" s="41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MarchIncome[[#This Row],[ACTUAL]]+(10^-6)*ROW(MarchIncome[[#This Row],[ACTUAL]])</f>
        <v>60000.000006000002</v>
      </c>
      <c r="F6" s="22">
        <f>MarchIncome[[#This Row],[ACTUAL]]-MarchIncome[[#This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MarchIncome[[#This Row],[ACTUAL]]+(10^-6)*ROW(MarchIncome[[#This Row],[ACTUAL]])</f>
        <v>28000.000006999999</v>
      </c>
      <c r="F7" s="22">
        <f>MarchIncome[[#This Row],[ACTUAL]]-MarchIncome[[#This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MarchIncome[[#This Row],[ACTUAL]]+(10^-6)*ROW(MarchIncome[[#This Row],[ACTUAL]])</f>
        <v>3000.000008</v>
      </c>
      <c r="F8" s="22">
        <f>MarchIncome[[#This Row],[ACTUAL]]-MarchIncome[[#This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MarchIncome[[#This Row],[ACTUAL]]+(10^-6)*ROW(MarchIncome[[#This Row],[ACTUAL]])</f>
        <v>3000.0000089999999</v>
      </c>
      <c r="F9" s="22">
        <f>MarchIncome[[#This Row],[ACTUAL]]-MarchIncome[[#This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MarchIncome[[#This Row],[ACTUAL]]+(10^-6)*ROW(MarchIncome[[#This Row],[ACTUAL]])</f>
        <v>3500.0000100000002</v>
      </c>
      <c r="F10" s="22">
        <f>MarchIncome[[#This Row],[ACTUAL]]-MarchIncome[[#This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SUBTOTAL(109,MarchIncome[ESTIMATED])</f>
        <v>90000</v>
      </c>
      <c r="D11" s="21">
        <f>SUBTOTAL(109,MarchIncome[ACTUAL])</f>
        <v>97500</v>
      </c>
      <c r="E11" s="21"/>
      <c r="F11" s="23">
        <f>SUBTOTAL(109,MarchIncome[DIFFERENCE])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5000</v>
      </c>
      <c r="D14" s="51">
        <v>4600</v>
      </c>
      <c r="E14" s="19">
        <f>PersonnelTableMarch[[#This Row],[ACTUAL]]+(10^-6)*ROW(PersonnelTableMarch[[#This Row],[ACTUAL]])</f>
        <v>4600.0000140000002</v>
      </c>
      <c r="F14" s="24">
        <f>PersonnelTableMarch[[#This Row],[ESTIMATED]]-PersonnelTableMarch[[#This Row],[ACTUAL]]</f>
        <v>400</v>
      </c>
      <c r="G14" s="4"/>
    </row>
    <row r="15" spans="1:7" ht="15.75" x14ac:dyDescent="0.25">
      <c r="A15" s="4"/>
      <c r="B15" s="47" t="s">
        <v>24</v>
      </c>
      <c r="C15" s="51">
        <v>2000</v>
      </c>
      <c r="D15" s="51">
        <v>0</v>
      </c>
      <c r="E15" s="19">
        <f>PersonnelTableMarch[[#This Row],[ACTUAL]]+(10^-6)*ROW(PersonnelTableMarch[[#This Row],[ACTUAL]])</f>
        <v>1.4999999999999999E-5</v>
      </c>
      <c r="F15" s="24">
        <f>PersonnelTableMarch[[#This Row],[ESTIMATED]]-PersonnelTableMarch[[#This Row],[ACTUAL]]</f>
        <v>2000</v>
      </c>
      <c r="G15" s="4"/>
    </row>
    <row r="16" spans="1:7" ht="15.75" x14ac:dyDescent="0.25">
      <c r="A16" s="4"/>
      <c r="B16" s="47" t="s">
        <v>25</v>
      </c>
      <c r="C16" s="51">
        <v>4000</v>
      </c>
      <c r="D16" s="51">
        <v>3000</v>
      </c>
      <c r="E16" s="19">
        <f>PersonnelTableMarch[[#This Row],[ACTUAL]]+(10^-6)*ROW(PersonnelTableMarch[[#This Row],[ACTUAL]])</f>
        <v>3000.000016</v>
      </c>
      <c r="F16" s="24">
        <f>PersonnelTableMarch[[#This Row],[ESTIMATED]]-PersonnelTableMarch[[#This Row],[ACTUAL]]</f>
        <v>1000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PersonnelTableMarch[[#This Row],[ACTUAL]]+(10^-6)*ROW(PersonnelTableMarch[[#This Row],[ACTUAL]])</f>
        <v>1500.0000170000001</v>
      </c>
      <c r="F17" s="24">
        <f>PersonnelTableMarch[[#This Row],[ESTIMATED]]-PersonnelTableMarch[[#This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SUBTOTAL(109,PersonnelTableMarch[ESTIMATED])</f>
        <v>13000</v>
      </c>
      <c r="D18" s="20">
        <f>SUBTOTAL(109,PersonnelTableMarch[ACTUAL])</f>
        <v>9100</v>
      </c>
      <c r="E18" s="20"/>
      <c r="F18" s="25">
        <f>SUBTOTAL(109,PersonnelTableMarch[DIFFERENCE])</f>
        <v>3900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4000</v>
      </c>
      <c r="D21" s="52">
        <v>2000</v>
      </c>
      <c r="E21" s="16">
        <f>OpExpMarch[[#This Row],[ACTUAL]]+(10^-6)*ROW(OpExpMarch[[#This Row],[ACTUAL]])</f>
        <v>2000.0000210000001</v>
      </c>
      <c r="F21" s="26">
        <f>OpExpMarch[[#This Row],[ESTIMATED]]-OpExpMarch[[#This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</v>
      </c>
      <c r="D22" s="52">
        <v>1000</v>
      </c>
      <c r="E22" s="16">
        <f>OpExpMarch[[#This Row],[ACTUAL]]+(10^-6)*ROW(OpExpMarch[[#This Row],[ACTUAL]])</f>
        <v>1000.0000219999999</v>
      </c>
      <c r="F22" s="26">
        <f>OpExpMarch[[#This Row],[ESTIMATED]]-OpExpMarch[[#This Row],[ACTUAL]]</f>
        <v>0</v>
      </c>
      <c r="G22" s="4"/>
    </row>
    <row r="23" spans="1:7" ht="15.75" x14ac:dyDescent="0.25">
      <c r="A23" s="4"/>
      <c r="B23" s="50" t="s">
        <v>48</v>
      </c>
      <c r="C23" s="52">
        <v>8000</v>
      </c>
      <c r="D23" s="52">
        <v>10000</v>
      </c>
      <c r="E23" s="16">
        <f>OpExpMarch[[#This Row],[ACTUAL]]+(10^-6)*ROW(OpExpMarch[[#This Row],[ACTUAL]])</f>
        <v>10000.000023000001</v>
      </c>
      <c r="F23" s="26">
        <f>OpExpMarch[[#This Row],[ESTIMATED]]-OpExpMarch[[#This Row],[ACTUAL]]</f>
        <v>-2000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7000</v>
      </c>
      <c r="E24" s="16">
        <f>OpExpMarch[[#This Row],[ACTUAL]]+(10^-6)*ROW(OpExpMarch[[#This Row],[ACTUAL]])</f>
        <v>7000.0000239999999</v>
      </c>
      <c r="F24" s="26">
        <f>OpExpMarch[[#This Row],[ESTIMATED]]-OpExpMarch[[#This Row],[ACTUAL]]</f>
        <v>-2000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OpExpMarch[[#This Row],[ACTUAL]]+(10^-6)*ROW(OpExpMarch[[#This Row],[ACTUAL]])</f>
        <v>4500.0000250000003</v>
      </c>
      <c r="F25" s="26">
        <f>OpExpMarch[[#This Row],[ESTIMATED]]-OpExpMarch[[#This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OpExpMarch[[#This Row],[ACTUAL]]+(10^-6)*ROW(OpExpMarch[[#This Row],[ACTUAL]])</f>
        <v>4500.0000259999997</v>
      </c>
      <c r="F26" s="26">
        <f>OpExpMarch[[#This Row],[ESTIMATED]]-OpExpMarch[[#This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OpExpMarch[[#This Row],[ACTUAL]]+(10^-6)*ROW(OpExpMarch[[#This Row],[ACTUAL]])</f>
        <v>4000.000027</v>
      </c>
      <c r="F27" s="26">
        <f>OpExpMarch[[#This Row],[ESTIMATED]]-OpExpMarch[[#This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OpExpMarch[[#This Row],[ACTUAL]]+(10^-6)*ROW(OpExpMarch[[#This Row],[ACTUAL]])</f>
        <v>3500.0000279999999</v>
      </c>
      <c r="F28" s="26">
        <f>OpExpMarch[[#This Row],[ESTIMATED]]-OpExpMarch[[#This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OpExpMarch[[#This Row],[ACTUAL]]+(10^-6)*ROW(OpExpMarch[[#This Row],[ACTUAL]])</f>
        <v>3200.0000289999998</v>
      </c>
      <c r="F29" s="26">
        <f>OpExpMarch[[#This Row],[ESTIMATED]]-OpExpMarch[[#This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OpExpMarch[[#This Row],[ACTUAL]]+(10^-6)*ROW(OpExpMarch[[#This Row],[ACTUAL]])</f>
        <v>2200.0000300000002</v>
      </c>
      <c r="F30" s="26">
        <f>OpExpMarch[[#This Row],[ESTIMATED]]-OpExpMarch[[#This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OpExpMarch[[#This Row],[ACTUAL]]+(10^-6)*ROW(OpExpMarch[[#This Row],[ACTUAL]])</f>
        <v>1500.000031</v>
      </c>
      <c r="F31" s="26">
        <f>OpExpMarch[[#This Row],[ESTIMATED]]-OpExpMarch[[#This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OpExpMarch[[#This Row],[ACTUAL]]+(10^-6)*ROW(OpExpMarch[[#This Row],[ACTUAL]])</f>
        <v>1275.0000319999999</v>
      </c>
      <c r="F32" s="26">
        <f>OpExpMarch[[#This Row],[ESTIMATED]]-OpExpMarch[[#This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OpExpMarch[[#This Row],[ACTUAL]]+(10^-6)*ROW(OpExpMarch[[#This Row],[ACTUAL]])</f>
        <v>1200.000033</v>
      </c>
      <c r="F33" s="26">
        <f>OpExpMarch[[#This Row],[ESTIMATED]]-OpExpMarch[[#This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OpExpMarch[[#This Row],[ACTUAL]]+(10^-6)*ROW(OpExpMarch[[#This Row],[ACTUAL]])</f>
        <v>1000.000034</v>
      </c>
      <c r="F34" s="26">
        <f>OpExpMarch[[#This Row],[ESTIMATED]]-OpExpMarch[[#This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OpExpMarch[[#This Row],[ACTUAL]]+(10^-6)*ROW(OpExpMarch[[#This Row],[ACTUAL]])</f>
        <v>1000.000035</v>
      </c>
      <c r="F35" s="26">
        <f>OpExpMarch[[#This Row],[ESTIMATED]]-OpExpMarch[[#This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OpExpMarch[[#This Row],[ACTUAL]]+(10^-6)*ROW(OpExpMarch[[#This Row],[ACTUAL]])</f>
        <v>900.00003600000002</v>
      </c>
      <c r="F36" s="26">
        <f>OpExpMarch[[#This Row],[ESTIMATED]]-OpExpMarch[[#This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OpExpMarch[[#This Row],[ACTUAL]]+(10^-6)*ROW(OpExpMarch[[#This Row],[ACTUAL]])</f>
        <v>840.00003700000002</v>
      </c>
      <c r="F37" s="26">
        <f>OpExpMarch[[#This Row],[ESTIMATED]]-OpExpMarch[[#This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OpExpMarch[[#This Row],[ACTUAL]]+(10^-6)*ROW(OpExpMarch[[#This Row],[ACTUAL]])</f>
        <v>800.00003800000002</v>
      </c>
      <c r="F38" s="26">
        <f>OpExpMarch[[#This Row],[ESTIMATED]]-OpExpMarch[[#This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OpExpMarch[[#This Row],[ACTUAL]]+(10^-6)*ROW(OpExpMarch[[#This Row],[ACTUAL]])</f>
        <v>800.00003900000002</v>
      </c>
      <c r="F39" s="26">
        <f>OpExpMarch[[#This Row],[ESTIMATED]]-OpExpMarch[[#This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OpExpMarch[[#This Row],[ACTUAL]]+(10^-6)*ROW(OpExpMarch[[#This Row],[ACTUAL]])</f>
        <v>500.00004000000001</v>
      </c>
      <c r="F40" s="26">
        <f>OpExpMarch[[#This Row],[ESTIMATED]]-OpExpMarch[[#This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OpExpMarch[[#This Row],[ACTUAL]]+(10^-6)*ROW(OpExpMarch[[#This Row],[ACTUAL]])</f>
        <v>450.00004100000001</v>
      </c>
      <c r="F41" s="26">
        <f>OpExpMarch[[#This Row],[ESTIMATED]]-OpExpMarch[[#This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OpExpMarch[[#This Row],[ACTUAL]]+(10^-6)*ROW(OpExpMarch[[#This Row],[ACTUAL]])</f>
        <v>400.00004200000001</v>
      </c>
      <c r="F42" s="26">
        <f>OpExpMarch[[#This Row],[ESTIMATED]]-OpExpMarch[[#This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OpExpMarch[[#This Row],[ACTUAL]]+(10^-6)*ROW(OpExpMarch[[#This Row],[ACTUAL]])</f>
        <v>280.00004300000001</v>
      </c>
      <c r="F43" s="26">
        <f>OpExpMarch[[#This Row],[ESTIMATED]]-OpExpMarch[[#This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OpExpMarch[[#This Row],[ACTUAL]]+(10^-6)*ROW(OpExpMarch[[#This Row],[ACTUAL]])</f>
        <v>200.000044</v>
      </c>
      <c r="F44" s="26">
        <f>OpExpMarch[[#This Row],[ESTIMATED]]-OpExpMarch[[#This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OpExpMarch[[#This Row],[ACTUAL]]+(10^-6)*ROW(OpExpMarch[[#This Row],[ACTUAL]])</f>
        <v>4.4999999999999996E-5</v>
      </c>
      <c r="F45" s="26">
        <f>OpExpMarch[[#This Row],[ESTIMATED]]-OpExpMarch[[#This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OpExpMarch[[#This Row],[ACTUAL]]+(10^-6)*ROW(OpExpMarch[[#This Row],[ACTUAL]])</f>
        <v>4.6E-5</v>
      </c>
      <c r="F46" s="26">
        <f>OpExpMarch[[#This Row],[ESTIMATED]]-OpExpMarch[[#This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OpExpMarch[[#This Row],[ACTUAL]]+(10^-6)*ROW(OpExpMarch[[#This Row],[ACTUAL]])</f>
        <v>4.6999999999999997E-5</v>
      </c>
      <c r="F47" s="26">
        <f>OpExpMarch[[#This Row],[ESTIMATED]]-OpExpMarch[[#This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OpExpMarch[[#This Row],[ACTUAL]]+(10^-6)*ROW(OpExpMarch[[#This Row],[ACTUAL]])</f>
        <v>4.8000000000000001E-5</v>
      </c>
      <c r="F48" s="26">
        <f>OpExpMarch[[#This Row],[ESTIMATED]]-OpExpMarch[[#This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SUBTOTAL(109,OpExpMarch[ESTIMATED])</f>
        <v>51400</v>
      </c>
      <c r="D49" s="18">
        <f>SUBTOTAL(109,OpExpMarch[ACTUAL])</f>
        <v>53045</v>
      </c>
      <c r="E49" s="18"/>
      <c r="F49" s="27">
        <f>SUBTOTAL(109,OpExpMarch[DIFFERENCE])</f>
        <v>-1645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sqref="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42826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AprilIncome[[#Totals],[ESTIMATED]]</f>
        <v>90000</v>
      </c>
      <c r="D5" s="28">
        <f>AprilIncome[[#Totals],[ACTUAL]]</f>
        <v>97500</v>
      </c>
      <c r="E5" s="24">
        <f>TotalsTableApril[[#This Row],[ACTUAL]]-TotalsTableApril[[#This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OpExpApril[[#Totals],[ESTIMATED]]+PersonnelTableApril[[#Totals],[ESTIMATED]]</f>
        <v>64400</v>
      </c>
      <c r="D6" s="28">
        <f>OpExpApril[[#Totals],[ACTUAL]]+PersonnelTableApril[[#Totals],[ACTUAL]]</f>
        <v>62145</v>
      </c>
      <c r="E6" s="24">
        <f>TotalsTableApril[[#This Row],[ESTIMATED]]-TotalsTableApril[[#This Row],[ACTUAL]]</f>
        <v>2255</v>
      </c>
      <c r="F6" s="4"/>
    </row>
    <row r="7" spans="1:7" ht="15.75" x14ac:dyDescent="0.25">
      <c r="A7" s="4"/>
      <c r="B7" s="12" t="s">
        <v>7</v>
      </c>
      <c r="C7" s="29">
        <f>C5-C6</f>
        <v>25600</v>
      </c>
      <c r="D7" s="29">
        <f>D5-D6</f>
        <v>35355</v>
      </c>
      <c r="E7" s="29">
        <f>TotalsTableApril[[#Totals],[ACTUAL]]-TotalsTableApril[[#Totals],[ESTIMATED]]</f>
        <v>9755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INDEX(OpExpApril[],(MATCH(Top5ExpApril[[#This Row],[AMOUNT]],OpExpApril[TOP 5 AMOUNT],0)),1)</f>
        <v>Pesticides/Chemicals</v>
      </c>
      <c r="C33" s="16">
        <f>LARGE(OpExpApril[TOP 5 AMOUNT],1)</f>
        <v>10000.000023000001</v>
      </c>
      <c r="D33" s="30">
        <f>Top5ExpApril[[#This Row],[AMOUNT]]/$D$6</f>
        <v>0.16091399184166064</v>
      </c>
      <c r="E33" s="16">
        <f>Top5ExpApril[[#This Row],[AMOUNT]]*0.15</f>
        <v>1500.0000034500001</v>
      </c>
      <c r="F33" s="4"/>
    </row>
    <row r="34" spans="1:6" ht="15.75" x14ac:dyDescent="0.25">
      <c r="A34" s="4"/>
      <c r="B34" s="6" t="str">
        <f>INDEX(OpExpApril[],(MATCH(Top5ExpApril[[#This Row],[AMOUNT]],OpExpApril[TOP 5 AMOUNT],0)),1)</f>
        <v>Feed</v>
      </c>
      <c r="C34" s="16">
        <f>LARGE(OpExpApril[TOP 5 AMOUNT],2)</f>
        <v>7000.0000239999999</v>
      </c>
      <c r="D34" s="30">
        <f>Top5ExpApril[[#This Row],[AMOUNT]]/$D$6</f>
        <v>0.11263979441628449</v>
      </c>
      <c r="E34" s="16">
        <f>Top5ExpApril[[#This Row],[AMOUNT]]*0.15</f>
        <v>1050.0000035999999</v>
      </c>
      <c r="F34" s="4"/>
    </row>
    <row r="35" spans="1:6" ht="15.75" x14ac:dyDescent="0.25">
      <c r="A35" s="4"/>
      <c r="B35" s="6" t="str">
        <f>INDEX(OpExpApril[],(MATCH(Top5ExpApril[[#This Row],[AMOUNT]],OpExpApril[TOP 5 AMOUNT],0)),1)</f>
        <v>Supplies</v>
      </c>
      <c r="C35" s="16">
        <f>LARGE(OpExpApril[TOP 5 AMOUNT],3)</f>
        <v>4500.0000259999997</v>
      </c>
      <c r="D35" s="30">
        <f>Top5ExpApril[[#This Row],[AMOUNT]]/$D$6</f>
        <v>7.2411296580577683E-2</v>
      </c>
      <c r="E35" s="16">
        <f>Top5ExpApril[[#This Row],[AMOUNT]]*0.15</f>
        <v>675.00000389999991</v>
      </c>
      <c r="F35" s="4"/>
    </row>
    <row r="36" spans="1:6" ht="15.75" x14ac:dyDescent="0.25">
      <c r="A36" s="4"/>
      <c r="B36" s="6" t="str">
        <f>INDEX(OpExpApril[],(MATCH(Top5ExpApril[[#This Row],[AMOUNT]],OpExpApril[TOP 5 AMOUNT],0)),1)</f>
        <v>Rent or Mortgage</v>
      </c>
      <c r="C36" s="16">
        <f>LARGE(OpExpApril[TOP 5 AMOUNT],4)</f>
        <v>4500.0000250000003</v>
      </c>
      <c r="D36" s="30">
        <f>Top5ExpApril[[#This Row],[AMOUNT]]/$D$6</f>
        <v>7.2411296564486291E-2</v>
      </c>
      <c r="E36" s="16">
        <f>Top5ExpApril[[#This Row],[AMOUNT]]*0.15</f>
        <v>675.00000375000002</v>
      </c>
      <c r="F36" s="4"/>
    </row>
    <row r="37" spans="1:6" ht="15.75" x14ac:dyDescent="0.25">
      <c r="A37" s="4"/>
      <c r="B37" s="6" t="str">
        <f>INDEX(OpExpApril[],(MATCH(Top5ExpApril[[#This Row],[AMOUNT]],OpExpApril[TOP 5 AMOUNT],0)),1)</f>
        <v>Maintenance and Repairs</v>
      </c>
      <c r="C37" s="16">
        <f>LARGE(OpExpApril[TOP 5 AMOUNT],5)</f>
        <v>4000.000027</v>
      </c>
      <c r="D37" s="30">
        <f>Top5ExpApril[[#This Row],[AMOUNT]]/$D$6</f>
        <v>6.4365597023091164E-2</v>
      </c>
      <c r="E37" s="16">
        <f>Top5ExpApril[[#This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SUBTOTAL(109,Top5ExpApril[AMOUNT])</f>
        <v>30000.000125000006</v>
      </c>
      <c r="D38" s="32">
        <f>SUBTOTAL(109,Top5ExpApril[% OF EXPENSES])</f>
        <v>0.48274197642610028</v>
      </c>
      <c r="E38" s="31">
        <f>SUBTOTAL(109,Top5ExpApril[15% REDUCTION])</f>
        <v>4500.00001875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opLeftCell="A8" workbookViewId="0">
      <selection activeCell="B21" activeCellId="3" sqref="B2:B3 B6:D10 B14:D17 B21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</row>
    <row r="3" spans="1:7" ht="33" x14ac:dyDescent="0.45">
      <c r="B3" s="41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AprilIncome[[#This Row],[ACTUAL]]+(10^-6)*ROW(AprilIncome[[#This Row],[ACTUAL]])</f>
        <v>60000.000006000002</v>
      </c>
      <c r="F6" s="22">
        <f>AprilIncome[[#This Row],[ACTUAL]]-AprilIncome[[#This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AprilIncome[[#This Row],[ACTUAL]]+(10^-6)*ROW(AprilIncome[[#This Row],[ACTUAL]])</f>
        <v>28000.000006999999</v>
      </c>
      <c r="F7" s="22">
        <f>AprilIncome[[#This Row],[ACTUAL]]-AprilIncome[[#This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AprilIncome[[#This Row],[ACTUAL]]+(10^-6)*ROW(AprilIncome[[#This Row],[ACTUAL]])</f>
        <v>3000.000008</v>
      </c>
      <c r="F8" s="22">
        <f>AprilIncome[[#This Row],[ACTUAL]]-AprilIncome[[#This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AprilIncome[[#This Row],[ACTUAL]]+(10^-6)*ROW(AprilIncome[[#This Row],[ACTUAL]])</f>
        <v>3000.0000089999999</v>
      </c>
      <c r="F9" s="22">
        <f>AprilIncome[[#This Row],[ACTUAL]]-AprilIncome[[#This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AprilIncome[[#This Row],[ACTUAL]]+(10^-6)*ROW(AprilIncome[[#This Row],[ACTUAL]])</f>
        <v>3500.0000100000002</v>
      </c>
      <c r="F10" s="22">
        <f>AprilIncome[[#This Row],[ACTUAL]]-AprilIncome[[#This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SUBTOTAL(109,AprilIncome[ESTIMATED])</f>
        <v>90000</v>
      </c>
      <c r="D11" s="21">
        <f>SUBTOTAL(109,AprilIncome[ACTUAL])</f>
        <v>97500</v>
      </c>
      <c r="E11" s="21"/>
      <c r="F11" s="23">
        <f>SUBTOTAL(109,AprilIncome[DIFFERENCE])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5000</v>
      </c>
      <c r="D14" s="51">
        <v>4600</v>
      </c>
      <c r="E14" s="19">
        <f>PersonnelTableApril[[#This Row],[ACTUAL]]+(10^-6)*ROW(PersonnelTableApril[[#This Row],[ACTUAL]])</f>
        <v>4600.0000140000002</v>
      </c>
      <c r="F14" s="24">
        <f>PersonnelTableApril[[#This Row],[ESTIMATED]]-PersonnelTableApril[[#This Row],[ACTUAL]]</f>
        <v>400</v>
      </c>
      <c r="G14" s="4"/>
    </row>
    <row r="15" spans="1:7" ht="15.75" x14ac:dyDescent="0.25">
      <c r="A15" s="4"/>
      <c r="B15" s="47" t="s">
        <v>24</v>
      </c>
      <c r="C15" s="51">
        <v>2000</v>
      </c>
      <c r="D15" s="51">
        <v>0</v>
      </c>
      <c r="E15" s="19">
        <f>PersonnelTableApril[[#This Row],[ACTUAL]]+(10^-6)*ROW(PersonnelTableApril[[#This Row],[ACTUAL]])</f>
        <v>1.4999999999999999E-5</v>
      </c>
      <c r="F15" s="24">
        <f>PersonnelTableApril[[#This Row],[ESTIMATED]]-PersonnelTableApril[[#This Row],[ACTUAL]]</f>
        <v>2000</v>
      </c>
      <c r="G15" s="4"/>
    </row>
    <row r="16" spans="1:7" ht="15.75" x14ac:dyDescent="0.25">
      <c r="A16" s="4"/>
      <c r="B16" s="47" t="s">
        <v>25</v>
      </c>
      <c r="C16" s="51">
        <v>4000</v>
      </c>
      <c r="D16" s="51">
        <v>3000</v>
      </c>
      <c r="E16" s="19">
        <f>PersonnelTableApril[[#This Row],[ACTUAL]]+(10^-6)*ROW(PersonnelTableApril[[#This Row],[ACTUAL]])</f>
        <v>3000.000016</v>
      </c>
      <c r="F16" s="24">
        <f>PersonnelTableApril[[#This Row],[ESTIMATED]]-PersonnelTableApril[[#This Row],[ACTUAL]]</f>
        <v>1000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PersonnelTableApril[[#This Row],[ACTUAL]]+(10^-6)*ROW(PersonnelTableApril[[#This Row],[ACTUAL]])</f>
        <v>1500.0000170000001</v>
      </c>
      <c r="F17" s="24">
        <f>PersonnelTableApril[[#This Row],[ESTIMATED]]-PersonnelTableApril[[#This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SUBTOTAL(109,PersonnelTableApril[ESTIMATED])</f>
        <v>13000</v>
      </c>
      <c r="D18" s="20">
        <f>SUBTOTAL(109,PersonnelTableApril[ACTUAL])</f>
        <v>9100</v>
      </c>
      <c r="E18" s="20"/>
      <c r="F18" s="25">
        <f>SUBTOTAL(109,PersonnelTableApril[DIFFERENCE])</f>
        <v>3900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4000</v>
      </c>
      <c r="D21" s="52">
        <v>2000</v>
      </c>
      <c r="E21" s="16">
        <f>OpExpApril[[#This Row],[ACTUAL]]+(10^-6)*ROW(OpExpApril[[#This Row],[ACTUAL]])</f>
        <v>2000.0000210000001</v>
      </c>
      <c r="F21" s="26">
        <f>OpExpApril[[#This Row],[ESTIMATED]]-OpExpApril[[#This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</v>
      </c>
      <c r="D22" s="52">
        <v>1000</v>
      </c>
      <c r="E22" s="16">
        <f>OpExpApril[[#This Row],[ACTUAL]]+(10^-6)*ROW(OpExpApril[[#This Row],[ACTUAL]])</f>
        <v>1000.0000219999999</v>
      </c>
      <c r="F22" s="26">
        <f>OpExpApril[[#This Row],[ESTIMATED]]-OpExpApril[[#This Row],[ACTUAL]]</f>
        <v>0</v>
      </c>
      <c r="G22" s="4"/>
    </row>
    <row r="23" spans="1:7" ht="15.75" x14ac:dyDescent="0.25">
      <c r="A23" s="4"/>
      <c r="B23" s="50" t="s">
        <v>48</v>
      </c>
      <c r="C23" s="52">
        <v>8000</v>
      </c>
      <c r="D23" s="52">
        <v>10000</v>
      </c>
      <c r="E23" s="16">
        <f>OpExpApril[[#This Row],[ACTUAL]]+(10^-6)*ROW(OpExpApril[[#This Row],[ACTUAL]])</f>
        <v>10000.000023000001</v>
      </c>
      <c r="F23" s="26">
        <f>OpExpApril[[#This Row],[ESTIMATED]]-OpExpApril[[#This Row],[ACTUAL]]</f>
        <v>-2000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7000</v>
      </c>
      <c r="E24" s="16">
        <f>OpExpApril[[#This Row],[ACTUAL]]+(10^-6)*ROW(OpExpApril[[#This Row],[ACTUAL]])</f>
        <v>7000.0000239999999</v>
      </c>
      <c r="F24" s="26">
        <f>OpExpApril[[#This Row],[ESTIMATED]]-OpExpApril[[#This Row],[ACTUAL]]</f>
        <v>-2000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OpExpApril[[#This Row],[ACTUAL]]+(10^-6)*ROW(OpExpApril[[#This Row],[ACTUAL]])</f>
        <v>4500.0000250000003</v>
      </c>
      <c r="F25" s="26">
        <f>OpExpApril[[#This Row],[ESTIMATED]]-OpExpApril[[#This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OpExpApril[[#This Row],[ACTUAL]]+(10^-6)*ROW(OpExpApril[[#This Row],[ACTUAL]])</f>
        <v>4500.0000259999997</v>
      </c>
      <c r="F26" s="26">
        <f>OpExpApril[[#This Row],[ESTIMATED]]-OpExpApril[[#This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OpExpApril[[#This Row],[ACTUAL]]+(10^-6)*ROW(OpExpApril[[#This Row],[ACTUAL]])</f>
        <v>4000.000027</v>
      </c>
      <c r="F27" s="26">
        <f>OpExpApril[[#This Row],[ESTIMATED]]-OpExpApril[[#This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OpExpApril[[#This Row],[ACTUAL]]+(10^-6)*ROW(OpExpApril[[#This Row],[ACTUAL]])</f>
        <v>3500.0000279999999</v>
      </c>
      <c r="F28" s="26">
        <f>OpExpApril[[#This Row],[ESTIMATED]]-OpExpApril[[#This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OpExpApril[[#This Row],[ACTUAL]]+(10^-6)*ROW(OpExpApril[[#This Row],[ACTUAL]])</f>
        <v>3200.0000289999998</v>
      </c>
      <c r="F29" s="26">
        <f>OpExpApril[[#This Row],[ESTIMATED]]-OpExpApril[[#This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OpExpApril[[#This Row],[ACTUAL]]+(10^-6)*ROW(OpExpApril[[#This Row],[ACTUAL]])</f>
        <v>2200.0000300000002</v>
      </c>
      <c r="F30" s="26">
        <f>OpExpApril[[#This Row],[ESTIMATED]]-OpExpApril[[#This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OpExpApril[[#This Row],[ACTUAL]]+(10^-6)*ROW(OpExpApril[[#This Row],[ACTUAL]])</f>
        <v>1500.000031</v>
      </c>
      <c r="F31" s="26">
        <f>OpExpApril[[#This Row],[ESTIMATED]]-OpExpApril[[#This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OpExpApril[[#This Row],[ACTUAL]]+(10^-6)*ROW(OpExpApril[[#This Row],[ACTUAL]])</f>
        <v>1275.0000319999999</v>
      </c>
      <c r="F32" s="26">
        <f>OpExpApril[[#This Row],[ESTIMATED]]-OpExpApril[[#This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OpExpApril[[#This Row],[ACTUAL]]+(10^-6)*ROW(OpExpApril[[#This Row],[ACTUAL]])</f>
        <v>1200.000033</v>
      </c>
      <c r="F33" s="26">
        <f>OpExpApril[[#This Row],[ESTIMATED]]-OpExpApril[[#This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OpExpApril[[#This Row],[ACTUAL]]+(10^-6)*ROW(OpExpApril[[#This Row],[ACTUAL]])</f>
        <v>1000.000034</v>
      </c>
      <c r="F34" s="26">
        <f>OpExpApril[[#This Row],[ESTIMATED]]-OpExpApril[[#This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OpExpApril[[#This Row],[ACTUAL]]+(10^-6)*ROW(OpExpApril[[#This Row],[ACTUAL]])</f>
        <v>1000.000035</v>
      </c>
      <c r="F35" s="26">
        <f>OpExpApril[[#This Row],[ESTIMATED]]-OpExpApril[[#This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OpExpApril[[#This Row],[ACTUAL]]+(10^-6)*ROW(OpExpApril[[#This Row],[ACTUAL]])</f>
        <v>900.00003600000002</v>
      </c>
      <c r="F36" s="26">
        <f>OpExpApril[[#This Row],[ESTIMATED]]-OpExpApril[[#This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OpExpApril[[#This Row],[ACTUAL]]+(10^-6)*ROW(OpExpApril[[#This Row],[ACTUAL]])</f>
        <v>840.00003700000002</v>
      </c>
      <c r="F37" s="26">
        <f>OpExpApril[[#This Row],[ESTIMATED]]-OpExpApril[[#This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OpExpApril[[#This Row],[ACTUAL]]+(10^-6)*ROW(OpExpApril[[#This Row],[ACTUAL]])</f>
        <v>800.00003800000002</v>
      </c>
      <c r="F38" s="26">
        <f>OpExpApril[[#This Row],[ESTIMATED]]-OpExpApril[[#This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OpExpApril[[#This Row],[ACTUAL]]+(10^-6)*ROW(OpExpApril[[#This Row],[ACTUAL]])</f>
        <v>800.00003900000002</v>
      </c>
      <c r="F39" s="26">
        <f>OpExpApril[[#This Row],[ESTIMATED]]-OpExpApril[[#This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OpExpApril[[#This Row],[ACTUAL]]+(10^-6)*ROW(OpExpApril[[#This Row],[ACTUAL]])</f>
        <v>500.00004000000001</v>
      </c>
      <c r="F40" s="26">
        <f>OpExpApril[[#This Row],[ESTIMATED]]-OpExpApril[[#This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OpExpApril[[#This Row],[ACTUAL]]+(10^-6)*ROW(OpExpApril[[#This Row],[ACTUAL]])</f>
        <v>450.00004100000001</v>
      </c>
      <c r="F41" s="26">
        <f>OpExpApril[[#This Row],[ESTIMATED]]-OpExpApril[[#This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OpExpApril[[#This Row],[ACTUAL]]+(10^-6)*ROW(OpExpApril[[#This Row],[ACTUAL]])</f>
        <v>400.00004200000001</v>
      </c>
      <c r="F42" s="26">
        <f>OpExpApril[[#This Row],[ESTIMATED]]-OpExpApril[[#This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OpExpApril[[#This Row],[ACTUAL]]+(10^-6)*ROW(OpExpApril[[#This Row],[ACTUAL]])</f>
        <v>280.00004300000001</v>
      </c>
      <c r="F43" s="26">
        <f>OpExpApril[[#This Row],[ESTIMATED]]-OpExpApril[[#This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OpExpApril[[#This Row],[ACTUAL]]+(10^-6)*ROW(OpExpApril[[#This Row],[ACTUAL]])</f>
        <v>200.000044</v>
      </c>
      <c r="F44" s="26">
        <f>OpExpApril[[#This Row],[ESTIMATED]]-OpExpApril[[#This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OpExpApril[[#This Row],[ACTUAL]]+(10^-6)*ROW(OpExpApril[[#This Row],[ACTUAL]])</f>
        <v>4.4999999999999996E-5</v>
      </c>
      <c r="F45" s="26">
        <f>OpExpApril[[#This Row],[ESTIMATED]]-OpExpApril[[#This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OpExpApril[[#This Row],[ACTUAL]]+(10^-6)*ROW(OpExpApril[[#This Row],[ACTUAL]])</f>
        <v>4.6E-5</v>
      </c>
      <c r="F46" s="26">
        <f>OpExpApril[[#This Row],[ESTIMATED]]-OpExpApril[[#This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OpExpApril[[#This Row],[ACTUAL]]+(10^-6)*ROW(OpExpApril[[#This Row],[ACTUAL]])</f>
        <v>4.6999999999999997E-5</v>
      </c>
      <c r="F47" s="26">
        <f>OpExpApril[[#This Row],[ESTIMATED]]-OpExpApril[[#This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OpExpApril[[#This Row],[ACTUAL]]+(10^-6)*ROW(OpExpApril[[#This Row],[ACTUAL]])</f>
        <v>4.8000000000000001E-5</v>
      </c>
      <c r="F48" s="26">
        <f>OpExpApril[[#This Row],[ESTIMATED]]-OpExpApril[[#This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SUBTOTAL(109,OpExpApril[ESTIMATED])</f>
        <v>51400</v>
      </c>
      <c r="D49" s="18">
        <f>SUBTOTAL(109,OpExpApril[ACTUAL])</f>
        <v>53045</v>
      </c>
      <c r="E49" s="18"/>
      <c r="F49" s="27">
        <f>SUBTOTAL(109,OpExpApril[DIFFERENCE])</f>
        <v>-1645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B2" activeCellId="1" sqref="E3:F3 B2:B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42856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MayIncome[[#Totals],[ESTIMATED]]</f>
        <v>90000</v>
      </c>
      <c r="D5" s="28">
        <f>MayIncome[[#Totals],[ACTUAL]]</f>
        <v>97500</v>
      </c>
      <c r="E5" s="24">
        <f>TotalsTableMay[[#This Row],[ACTUAL]]-TotalsTableMay[[#This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OpExpMay[[#Totals],[ESTIMATED]]+PersonnelTableMay[[#Totals],[ESTIMATED]]</f>
        <v>64400</v>
      </c>
      <c r="D6" s="28">
        <f>OpExpMay[[#Totals],[ACTUAL]]+PersonnelTableMay[[#Totals],[ACTUAL]]</f>
        <v>62145</v>
      </c>
      <c r="E6" s="24">
        <f>TotalsTableMay[[#This Row],[ESTIMATED]]-TotalsTableMay[[#This Row],[ACTUAL]]</f>
        <v>2255</v>
      </c>
      <c r="F6" s="4"/>
    </row>
    <row r="7" spans="1:7" ht="15.75" x14ac:dyDescent="0.25">
      <c r="A7" s="4"/>
      <c r="B7" s="12" t="s">
        <v>7</v>
      </c>
      <c r="C7" s="29">
        <f>C5-C6</f>
        <v>25600</v>
      </c>
      <c r="D7" s="29">
        <f>D5-D6</f>
        <v>35355</v>
      </c>
      <c r="E7" s="29">
        <f>TotalsTableMay[[#Totals],[ACTUAL]]-TotalsTableMay[[#Totals],[ESTIMATED]]</f>
        <v>9755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INDEX(OpExpMay[],(MATCH(Top5ExpMay[[#This Row],[AMOUNT]],OpExpMay[TOP 5 AMOUNT],0)),1)</f>
        <v>Pesticides/Chemicals</v>
      </c>
      <c r="C33" s="16">
        <f>LARGE(OpExpMay[TOP 5 AMOUNT],1)</f>
        <v>10000.000023000001</v>
      </c>
      <c r="D33" s="30">
        <f>Top5ExpMay[[#This Row],[AMOUNT]]/$D$6</f>
        <v>0.16091399184166064</v>
      </c>
      <c r="E33" s="16">
        <f>Top5ExpMay[[#This Row],[AMOUNT]]*0.15</f>
        <v>1500.0000034500001</v>
      </c>
      <c r="F33" s="4"/>
    </row>
    <row r="34" spans="1:6" ht="15.75" x14ac:dyDescent="0.25">
      <c r="A34" s="4"/>
      <c r="B34" s="6" t="str">
        <f>INDEX(OpExpMay[],(MATCH(Top5ExpMay[[#This Row],[AMOUNT]],OpExpMay[TOP 5 AMOUNT],0)),1)</f>
        <v>Feed</v>
      </c>
      <c r="C34" s="16">
        <f>LARGE(OpExpMay[TOP 5 AMOUNT],2)</f>
        <v>7000.0000239999999</v>
      </c>
      <c r="D34" s="30">
        <f>Top5ExpMay[[#This Row],[AMOUNT]]/$D$6</f>
        <v>0.11263979441628449</v>
      </c>
      <c r="E34" s="16">
        <f>Top5ExpMay[[#This Row],[AMOUNT]]*0.15</f>
        <v>1050.0000035999999</v>
      </c>
      <c r="F34" s="4"/>
    </row>
    <row r="35" spans="1:6" ht="15.75" x14ac:dyDescent="0.25">
      <c r="A35" s="4"/>
      <c r="B35" s="6" t="str">
        <f>INDEX(OpExpMay[],(MATCH(Top5ExpMay[[#This Row],[AMOUNT]],OpExpMay[TOP 5 AMOUNT],0)),1)</f>
        <v>Supplies</v>
      </c>
      <c r="C35" s="16">
        <f>LARGE(OpExpMay[TOP 5 AMOUNT],3)</f>
        <v>4500.0000259999997</v>
      </c>
      <c r="D35" s="30">
        <f>Top5ExpMay[[#This Row],[AMOUNT]]/$D$6</f>
        <v>7.2411296580577683E-2</v>
      </c>
      <c r="E35" s="16">
        <f>Top5ExpMay[[#This Row],[AMOUNT]]*0.15</f>
        <v>675.00000389999991</v>
      </c>
      <c r="F35" s="4"/>
    </row>
    <row r="36" spans="1:6" ht="15.75" x14ac:dyDescent="0.25">
      <c r="A36" s="4"/>
      <c r="B36" s="6" t="str">
        <f>INDEX(OpExpMay[],(MATCH(Top5ExpMay[[#This Row],[AMOUNT]],OpExpMay[TOP 5 AMOUNT],0)),1)</f>
        <v>Rent or Mortgage</v>
      </c>
      <c r="C36" s="16">
        <f>LARGE(OpExpMay[TOP 5 AMOUNT],4)</f>
        <v>4500.0000250000003</v>
      </c>
      <c r="D36" s="30">
        <f>Top5ExpMay[[#This Row],[AMOUNT]]/$D$6</f>
        <v>7.2411296564486291E-2</v>
      </c>
      <c r="E36" s="16">
        <f>Top5ExpMay[[#This Row],[AMOUNT]]*0.15</f>
        <v>675.00000375000002</v>
      </c>
      <c r="F36" s="4"/>
    </row>
    <row r="37" spans="1:6" ht="15.75" x14ac:dyDescent="0.25">
      <c r="A37" s="4"/>
      <c r="B37" s="6" t="str">
        <f>INDEX(OpExpMay[],(MATCH(Top5ExpMay[[#This Row],[AMOUNT]],OpExpMay[TOP 5 AMOUNT],0)),1)</f>
        <v>Maintenance and Repairs</v>
      </c>
      <c r="C37" s="16">
        <f>LARGE(OpExpMay[TOP 5 AMOUNT],5)</f>
        <v>4000.000027</v>
      </c>
      <c r="D37" s="30">
        <f>Top5ExpMay[[#This Row],[AMOUNT]]/$D$6</f>
        <v>6.4365597023091164E-2</v>
      </c>
      <c r="E37" s="16">
        <f>Top5ExpMay[[#This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SUBTOTAL(109,Top5ExpMay[AMOUNT])</f>
        <v>30000.000125000006</v>
      </c>
      <c r="D38" s="32">
        <f>SUBTOTAL(109,Top5ExpMay[% OF EXPENSES])</f>
        <v>0.48274197642610028</v>
      </c>
      <c r="E38" s="31">
        <f>SUBTOTAL(109,Top5ExpMay[15% REDUCTION])</f>
        <v>4500.00001875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opLeftCell="A8" workbookViewId="0">
      <selection activeCell="B48" activeCellId="4" sqref="B2:B3 B6:D10 B14:D17 B21:D47 B48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</row>
    <row r="3" spans="1:7" ht="33" x14ac:dyDescent="0.45">
      <c r="B3" s="41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MayIncome[[#This Row],[ACTUAL]]+(10^-6)*ROW(MayIncome[[#This Row],[ACTUAL]])</f>
        <v>60000.000006000002</v>
      </c>
      <c r="F6" s="22">
        <f>MayIncome[[#This Row],[ACTUAL]]-MayIncome[[#This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MayIncome[[#This Row],[ACTUAL]]+(10^-6)*ROW(MayIncome[[#This Row],[ACTUAL]])</f>
        <v>28000.000006999999</v>
      </c>
      <c r="F7" s="22">
        <f>MayIncome[[#This Row],[ACTUAL]]-MayIncome[[#This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MayIncome[[#This Row],[ACTUAL]]+(10^-6)*ROW(MayIncome[[#This Row],[ACTUAL]])</f>
        <v>3000.000008</v>
      </c>
      <c r="F8" s="22">
        <f>MayIncome[[#This Row],[ACTUAL]]-MayIncome[[#This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MayIncome[[#This Row],[ACTUAL]]+(10^-6)*ROW(MayIncome[[#This Row],[ACTUAL]])</f>
        <v>3000.0000089999999</v>
      </c>
      <c r="F9" s="22">
        <f>MayIncome[[#This Row],[ACTUAL]]-MayIncome[[#This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MayIncome[[#This Row],[ACTUAL]]+(10^-6)*ROW(MayIncome[[#This Row],[ACTUAL]])</f>
        <v>3500.0000100000002</v>
      </c>
      <c r="F10" s="22">
        <f>MayIncome[[#This Row],[ACTUAL]]-MayIncome[[#This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SUBTOTAL(109,MayIncome[ESTIMATED])</f>
        <v>90000</v>
      </c>
      <c r="D11" s="21">
        <f>SUBTOTAL(109,MayIncome[ACTUAL])</f>
        <v>97500</v>
      </c>
      <c r="E11" s="21"/>
      <c r="F11" s="23">
        <f>SUBTOTAL(109,MayIncome[DIFFERENCE])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5000</v>
      </c>
      <c r="D14" s="51">
        <v>4600</v>
      </c>
      <c r="E14" s="19">
        <f>PersonnelTableMay[[#This Row],[ACTUAL]]+(10^-6)*ROW(PersonnelTableMay[[#This Row],[ACTUAL]])</f>
        <v>4600.0000140000002</v>
      </c>
      <c r="F14" s="24">
        <f>PersonnelTableMay[[#This Row],[ESTIMATED]]-PersonnelTableMay[[#This Row],[ACTUAL]]</f>
        <v>400</v>
      </c>
      <c r="G14" s="4"/>
    </row>
    <row r="15" spans="1:7" ht="15.75" x14ac:dyDescent="0.25">
      <c r="A15" s="4"/>
      <c r="B15" s="47" t="s">
        <v>24</v>
      </c>
      <c r="C15" s="51">
        <v>2000</v>
      </c>
      <c r="D15" s="51">
        <v>0</v>
      </c>
      <c r="E15" s="19">
        <f>PersonnelTableMay[[#This Row],[ACTUAL]]+(10^-6)*ROW(PersonnelTableMay[[#This Row],[ACTUAL]])</f>
        <v>1.4999999999999999E-5</v>
      </c>
      <c r="F15" s="24">
        <f>PersonnelTableMay[[#This Row],[ESTIMATED]]-PersonnelTableMay[[#This Row],[ACTUAL]]</f>
        <v>2000</v>
      </c>
      <c r="G15" s="4"/>
    </row>
    <row r="16" spans="1:7" ht="15.75" x14ac:dyDescent="0.25">
      <c r="A16" s="4"/>
      <c r="B16" s="47" t="s">
        <v>25</v>
      </c>
      <c r="C16" s="51">
        <v>4000</v>
      </c>
      <c r="D16" s="51">
        <v>3000</v>
      </c>
      <c r="E16" s="19">
        <f>PersonnelTableMay[[#This Row],[ACTUAL]]+(10^-6)*ROW(PersonnelTableMay[[#This Row],[ACTUAL]])</f>
        <v>3000.000016</v>
      </c>
      <c r="F16" s="24">
        <f>PersonnelTableMay[[#This Row],[ESTIMATED]]-PersonnelTableMay[[#This Row],[ACTUAL]]</f>
        <v>1000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PersonnelTableMay[[#This Row],[ACTUAL]]+(10^-6)*ROW(PersonnelTableMay[[#This Row],[ACTUAL]])</f>
        <v>1500.0000170000001</v>
      </c>
      <c r="F17" s="24">
        <f>PersonnelTableMay[[#This Row],[ESTIMATED]]-PersonnelTableMay[[#This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SUBTOTAL(109,PersonnelTableMay[ESTIMATED])</f>
        <v>13000</v>
      </c>
      <c r="D18" s="20">
        <f>SUBTOTAL(109,PersonnelTableMay[ACTUAL])</f>
        <v>9100</v>
      </c>
      <c r="E18" s="20"/>
      <c r="F18" s="25">
        <f>SUBTOTAL(109,PersonnelTableMay[DIFFERENCE])</f>
        <v>3900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4000</v>
      </c>
      <c r="D21" s="52">
        <v>2000</v>
      </c>
      <c r="E21" s="16">
        <f>OpExpMay[[#This Row],[ACTUAL]]+(10^-6)*ROW(OpExpMay[[#This Row],[ACTUAL]])</f>
        <v>2000.0000210000001</v>
      </c>
      <c r="F21" s="26">
        <f>OpExpMay[[#This Row],[ESTIMATED]]-OpExpMay[[#This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</v>
      </c>
      <c r="D22" s="52">
        <v>1000</v>
      </c>
      <c r="E22" s="16">
        <f>OpExpMay[[#This Row],[ACTUAL]]+(10^-6)*ROW(OpExpMay[[#This Row],[ACTUAL]])</f>
        <v>1000.0000219999999</v>
      </c>
      <c r="F22" s="26">
        <f>OpExpMay[[#This Row],[ESTIMATED]]-OpExpMay[[#This Row],[ACTUAL]]</f>
        <v>0</v>
      </c>
      <c r="G22" s="4"/>
    </row>
    <row r="23" spans="1:7" ht="15.75" x14ac:dyDescent="0.25">
      <c r="A23" s="4"/>
      <c r="B23" s="50" t="s">
        <v>48</v>
      </c>
      <c r="C23" s="52">
        <v>8000</v>
      </c>
      <c r="D23" s="52">
        <v>10000</v>
      </c>
      <c r="E23" s="16">
        <f>OpExpMay[[#This Row],[ACTUAL]]+(10^-6)*ROW(OpExpMay[[#This Row],[ACTUAL]])</f>
        <v>10000.000023000001</v>
      </c>
      <c r="F23" s="26">
        <f>OpExpMay[[#This Row],[ESTIMATED]]-OpExpMay[[#This Row],[ACTUAL]]</f>
        <v>-2000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7000</v>
      </c>
      <c r="E24" s="16">
        <f>OpExpMay[[#This Row],[ACTUAL]]+(10^-6)*ROW(OpExpMay[[#This Row],[ACTUAL]])</f>
        <v>7000.0000239999999</v>
      </c>
      <c r="F24" s="26">
        <f>OpExpMay[[#This Row],[ESTIMATED]]-OpExpMay[[#This Row],[ACTUAL]]</f>
        <v>-2000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OpExpMay[[#This Row],[ACTUAL]]+(10^-6)*ROW(OpExpMay[[#This Row],[ACTUAL]])</f>
        <v>4500.0000250000003</v>
      </c>
      <c r="F25" s="26">
        <f>OpExpMay[[#This Row],[ESTIMATED]]-OpExpMay[[#This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OpExpMay[[#This Row],[ACTUAL]]+(10^-6)*ROW(OpExpMay[[#This Row],[ACTUAL]])</f>
        <v>4500.0000259999997</v>
      </c>
      <c r="F26" s="26">
        <f>OpExpMay[[#This Row],[ESTIMATED]]-OpExpMay[[#This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OpExpMay[[#This Row],[ACTUAL]]+(10^-6)*ROW(OpExpMay[[#This Row],[ACTUAL]])</f>
        <v>4000.000027</v>
      </c>
      <c r="F27" s="26">
        <f>OpExpMay[[#This Row],[ESTIMATED]]-OpExpMay[[#This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OpExpMay[[#This Row],[ACTUAL]]+(10^-6)*ROW(OpExpMay[[#This Row],[ACTUAL]])</f>
        <v>3500.0000279999999</v>
      </c>
      <c r="F28" s="26">
        <f>OpExpMay[[#This Row],[ESTIMATED]]-OpExpMay[[#This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OpExpMay[[#This Row],[ACTUAL]]+(10^-6)*ROW(OpExpMay[[#This Row],[ACTUAL]])</f>
        <v>3200.0000289999998</v>
      </c>
      <c r="F29" s="26">
        <f>OpExpMay[[#This Row],[ESTIMATED]]-OpExpMay[[#This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OpExpMay[[#This Row],[ACTUAL]]+(10^-6)*ROW(OpExpMay[[#This Row],[ACTUAL]])</f>
        <v>2200.0000300000002</v>
      </c>
      <c r="F30" s="26">
        <f>OpExpMay[[#This Row],[ESTIMATED]]-OpExpMay[[#This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OpExpMay[[#This Row],[ACTUAL]]+(10^-6)*ROW(OpExpMay[[#This Row],[ACTUAL]])</f>
        <v>1500.000031</v>
      </c>
      <c r="F31" s="26">
        <f>OpExpMay[[#This Row],[ESTIMATED]]-OpExpMay[[#This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OpExpMay[[#This Row],[ACTUAL]]+(10^-6)*ROW(OpExpMay[[#This Row],[ACTUAL]])</f>
        <v>1275.0000319999999</v>
      </c>
      <c r="F32" s="26">
        <f>OpExpMay[[#This Row],[ESTIMATED]]-OpExpMay[[#This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OpExpMay[[#This Row],[ACTUAL]]+(10^-6)*ROW(OpExpMay[[#This Row],[ACTUAL]])</f>
        <v>1200.000033</v>
      </c>
      <c r="F33" s="26">
        <f>OpExpMay[[#This Row],[ESTIMATED]]-OpExpMay[[#This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OpExpMay[[#This Row],[ACTUAL]]+(10^-6)*ROW(OpExpMay[[#This Row],[ACTUAL]])</f>
        <v>1000.000034</v>
      </c>
      <c r="F34" s="26">
        <f>OpExpMay[[#This Row],[ESTIMATED]]-OpExpMay[[#This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OpExpMay[[#This Row],[ACTUAL]]+(10^-6)*ROW(OpExpMay[[#This Row],[ACTUAL]])</f>
        <v>1000.000035</v>
      </c>
      <c r="F35" s="26">
        <f>OpExpMay[[#This Row],[ESTIMATED]]-OpExpMay[[#This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OpExpMay[[#This Row],[ACTUAL]]+(10^-6)*ROW(OpExpMay[[#This Row],[ACTUAL]])</f>
        <v>900.00003600000002</v>
      </c>
      <c r="F36" s="26">
        <f>OpExpMay[[#This Row],[ESTIMATED]]-OpExpMay[[#This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OpExpMay[[#This Row],[ACTUAL]]+(10^-6)*ROW(OpExpMay[[#This Row],[ACTUAL]])</f>
        <v>840.00003700000002</v>
      </c>
      <c r="F37" s="26">
        <f>OpExpMay[[#This Row],[ESTIMATED]]-OpExpMay[[#This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OpExpMay[[#This Row],[ACTUAL]]+(10^-6)*ROW(OpExpMay[[#This Row],[ACTUAL]])</f>
        <v>800.00003800000002</v>
      </c>
      <c r="F38" s="26">
        <f>OpExpMay[[#This Row],[ESTIMATED]]-OpExpMay[[#This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OpExpMay[[#This Row],[ACTUAL]]+(10^-6)*ROW(OpExpMay[[#This Row],[ACTUAL]])</f>
        <v>800.00003900000002</v>
      </c>
      <c r="F39" s="26">
        <f>OpExpMay[[#This Row],[ESTIMATED]]-OpExpMay[[#This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OpExpMay[[#This Row],[ACTUAL]]+(10^-6)*ROW(OpExpMay[[#This Row],[ACTUAL]])</f>
        <v>500.00004000000001</v>
      </c>
      <c r="F40" s="26">
        <f>OpExpMay[[#This Row],[ESTIMATED]]-OpExpMay[[#This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OpExpMay[[#This Row],[ACTUAL]]+(10^-6)*ROW(OpExpMay[[#This Row],[ACTUAL]])</f>
        <v>450.00004100000001</v>
      </c>
      <c r="F41" s="26">
        <f>OpExpMay[[#This Row],[ESTIMATED]]-OpExpMay[[#This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OpExpMay[[#This Row],[ACTUAL]]+(10^-6)*ROW(OpExpMay[[#This Row],[ACTUAL]])</f>
        <v>400.00004200000001</v>
      </c>
      <c r="F42" s="26">
        <f>OpExpMay[[#This Row],[ESTIMATED]]-OpExpMay[[#This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OpExpMay[[#This Row],[ACTUAL]]+(10^-6)*ROW(OpExpMay[[#This Row],[ACTUAL]])</f>
        <v>280.00004300000001</v>
      </c>
      <c r="F43" s="26">
        <f>OpExpMay[[#This Row],[ESTIMATED]]-OpExpMay[[#This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OpExpMay[[#This Row],[ACTUAL]]+(10^-6)*ROW(OpExpMay[[#This Row],[ACTUAL]])</f>
        <v>200.000044</v>
      </c>
      <c r="F44" s="26">
        <f>OpExpMay[[#This Row],[ESTIMATED]]-OpExpMay[[#This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OpExpMay[[#This Row],[ACTUAL]]+(10^-6)*ROW(OpExpMay[[#This Row],[ACTUAL]])</f>
        <v>4.4999999999999996E-5</v>
      </c>
      <c r="F45" s="26">
        <f>OpExpMay[[#This Row],[ESTIMATED]]-OpExpMay[[#This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OpExpMay[[#This Row],[ACTUAL]]+(10^-6)*ROW(OpExpMay[[#This Row],[ACTUAL]])</f>
        <v>4.6E-5</v>
      </c>
      <c r="F46" s="26">
        <f>OpExpMay[[#This Row],[ESTIMATED]]-OpExpMay[[#This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OpExpMay[[#This Row],[ACTUAL]]+(10^-6)*ROW(OpExpMay[[#This Row],[ACTUAL]])</f>
        <v>4.6999999999999997E-5</v>
      </c>
      <c r="F47" s="26">
        <f>OpExpMay[[#This Row],[ESTIMATED]]-OpExpMay[[#This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OpExpMay[[#This Row],[ACTUAL]]+(10^-6)*ROW(OpExpMay[[#This Row],[ACTUAL]])</f>
        <v>4.8000000000000001E-5</v>
      </c>
      <c r="F48" s="26">
        <f>OpExpMay[[#This Row],[ESTIMATED]]-OpExpMay[[#This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SUBTOTAL(109,OpExpMay[ESTIMATED])</f>
        <v>51400</v>
      </c>
      <c r="D49" s="18">
        <f>SUBTOTAL(109,OpExpMay[ACTUAL])</f>
        <v>53045</v>
      </c>
      <c r="E49" s="18"/>
      <c r="F49" s="27">
        <f>SUBTOTAL(109,OpExpMay[DIFFERENCE])</f>
        <v>-1645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activeCellId="1" sqref="B2:B3 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42887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JuneIncome[[#Totals],[ESTIMATED]]</f>
        <v>90000</v>
      </c>
      <c r="D5" s="28">
        <f>JuneIncome[[#Totals],[ACTUAL]]</f>
        <v>97500</v>
      </c>
      <c r="E5" s="24">
        <f>TotalsTableJune[[#This Row],[ACTUAL]]-TotalsTableJune[[#This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OpExpJune[[#Totals],[ESTIMATED]]+PersonnelTableJune[[#Totals],[ESTIMATED]]</f>
        <v>64400</v>
      </c>
      <c r="D6" s="28">
        <f>OpExpJune[[#Totals],[ACTUAL]]+PersonnelTableJune[[#Totals],[ACTUAL]]</f>
        <v>62145</v>
      </c>
      <c r="E6" s="24">
        <f>TotalsTableJune[[#This Row],[ESTIMATED]]-TotalsTableJune[[#This Row],[ACTUAL]]</f>
        <v>2255</v>
      </c>
      <c r="F6" s="4"/>
    </row>
    <row r="7" spans="1:7" ht="15.75" x14ac:dyDescent="0.25">
      <c r="A7" s="4"/>
      <c r="B7" s="12" t="s">
        <v>7</v>
      </c>
      <c r="C7" s="29">
        <f>C5-C6</f>
        <v>25600</v>
      </c>
      <c r="D7" s="29">
        <f>D5-D6</f>
        <v>35355</v>
      </c>
      <c r="E7" s="29">
        <f>TotalsTableJune[[#Totals],[ACTUAL]]-TotalsTableJune[[#Totals],[ESTIMATED]]</f>
        <v>9755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INDEX(OpExpJune[],(MATCH(Top5ExpJune[[#This Row],[AMOUNT]],OpExpJune[TOP 5 AMOUNT],0)),1)</f>
        <v>Pesticides/Chemicals</v>
      </c>
      <c r="C33" s="16">
        <f>LARGE(OpExpJune[TOP 5 AMOUNT],1)</f>
        <v>10000.000023000001</v>
      </c>
      <c r="D33" s="30">
        <f>Top5ExpJune[[#This Row],[AMOUNT]]/$D$6</f>
        <v>0.16091399184166064</v>
      </c>
      <c r="E33" s="16">
        <f>Top5ExpJune[[#This Row],[AMOUNT]]*0.15</f>
        <v>1500.0000034500001</v>
      </c>
      <c r="F33" s="4"/>
    </row>
    <row r="34" spans="1:6" ht="15.75" x14ac:dyDescent="0.25">
      <c r="A34" s="4"/>
      <c r="B34" s="6" t="str">
        <f>INDEX(OpExpJune[],(MATCH(Top5ExpJune[[#This Row],[AMOUNT]],OpExpJune[TOP 5 AMOUNT],0)),1)</f>
        <v>Feed</v>
      </c>
      <c r="C34" s="16">
        <f>LARGE(OpExpJune[TOP 5 AMOUNT],2)</f>
        <v>7000.0000239999999</v>
      </c>
      <c r="D34" s="30">
        <f>Top5ExpJune[[#This Row],[AMOUNT]]/$D$6</f>
        <v>0.11263979441628449</v>
      </c>
      <c r="E34" s="16">
        <f>Top5ExpJune[[#This Row],[AMOUNT]]*0.15</f>
        <v>1050.0000035999999</v>
      </c>
      <c r="F34" s="4"/>
    </row>
    <row r="35" spans="1:6" ht="15.75" x14ac:dyDescent="0.25">
      <c r="A35" s="4"/>
      <c r="B35" s="6" t="str">
        <f>INDEX(OpExpJune[],(MATCH(Top5ExpJune[[#This Row],[AMOUNT]],OpExpJune[TOP 5 AMOUNT],0)),1)</f>
        <v>Supplies</v>
      </c>
      <c r="C35" s="16">
        <f>LARGE(OpExpJune[TOP 5 AMOUNT],3)</f>
        <v>4500.0000259999997</v>
      </c>
      <c r="D35" s="30">
        <f>Top5ExpJune[[#This Row],[AMOUNT]]/$D$6</f>
        <v>7.2411296580577683E-2</v>
      </c>
      <c r="E35" s="16">
        <f>Top5ExpJune[[#This Row],[AMOUNT]]*0.15</f>
        <v>675.00000389999991</v>
      </c>
      <c r="F35" s="4"/>
    </row>
    <row r="36" spans="1:6" ht="15.75" x14ac:dyDescent="0.25">
      <c r="A36" s="4"/>
      <c r="B36" s="6" t="str">
        <f>INDEX(OpExpJune[],(MATCH(Top5ExpJune[[#This Row],[AMOUNT]],OpExpJune[TOP 5 AMOUNT],0)),1)</f>
        <v>Rent or Mortgage</v>
      </c>
      <c r="C36" s="16">
        <f>LARGE(OpExpJune[TOP 5 AMOUNT],4)</f>
        <v>4500.0000250000003</v>
      </c>
      <c r="D36" s="30">
        <f>Top5ExpJune[[#This Row],[AMOUNT]]/$D$6</f>
        <v>7.2411296564486291E-2</v>
      </c>
      <c r="E36" s="16">
        <f>Top5ExpJune[[#This Row],[AMOUNT]]*0.15</f>
        <v>675.00000375000002</v>
      </c>
      <c r="F36" s="4"/>
    </row>
    <row r="37" spans="1:6" ht="15.75" x14ac:dyDescent="0.25">
      <c r="A37" s="4"/>
      <c r="B37" s="6" t="str">
        <f>INDEX(OpExpJune[],(MATCH(Top5ExpJune[[#This Row],[AMOUNT]],OpExpJune[TOP 5 AMOUNT],0)),1)</f>
        <v>Maintenance and Repairs</v>
      </c>
      <c r="C37" s="16">
        <f>LARGE(OpExpJune[TOP 5 AMOUNT],5)</f>
        <v>4000.000027</v>
      </c>
      <c r="D37" s="30">
        <f>Top5ExpJune[[#This Row],[AMOUNT]]/$D$6</f>
        <v>6.4365597023091164E-2</v>
      </c>
      <c r="E37" s="16">
        <f>Top5ExpJune[[#This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SUBTOTAL(109,Top5ExpJune[AMOUNT])</f>
        <v>30000.000125000006</v>
      </c>
      <c r="D38" s="32">
        <f>SUBTOTAL(109,Top5ExpJune[% OF EXPENSES])</f>
        <v>0.48274197642610028</v>
      </c>
      <c r="E38" s="31">
        <f>SUBTOTAL(109,Top5ExpJune[15% REDUCTION])</f>
        <v>4500.00001875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opLeftCell="A8" workbookViewId="0">
      <selection activeCell="B21" activeCellId="3" sqref="B2:B3 B6:D10 B14:D17 B21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</row>
    <row r="3" spans="1:7" ht="33" x14ac:dyDescent="0.45">
      <c r="B3" s="41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JuneIncome[[#This Row],[ACTUAL]]+(10^-6)*ROW(JuneIncome[[#This Row],[ACTUAL]])</f>
        <v>60000.000006000002</v>
      </c>
      <c r="F6" s="22">
        <f>JuneIncome[[#This Row],[ACTUAL]]-JuneIncome[[#This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JuneIncome[[#This Row],[ACTUAL]]+(10^-6)*ROW(JuneIncome[[#This Row],[ACTUAL]])</f>
        <v>28000.000006999999</v>
      </c>
      <c r="F7" s="22">
        <f>JuneIncome[[#This Row],[ACTUAL]]-JuneIncome[[#This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JuneIncome[[#This Row],[ACTUAL]]+(10^-6)*ROW(JuneIncome[[#This Row],[ACTUAL]])</f>
        <v>3000.000008</v>
      </c>
      <c r="F8" s="22">
        <f>JuneIncome[[#This Row],[ACTUAL]]-JuneIncome[[#This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JuneIncome[[#This Row],[ACTUAL]]+(10^-6)*ROW(JuneIncome[[#This Row],[ACTUAL]])</f>
        <v>3000.0000089999999</v>
      </c>
      <c r="F9" s="22">
        <f>JuneIncome[[#This Row],[ACTUAL]]-JuneIncome[[#This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JuneIncome[[#This Row],[ACTUAL]]+(10^-6)*ROW(JuneIncome[[#This Row],[ACTUAL]])</f>
        <v>3500.0000100000002</v>
      </c>
      <c r="F10" s="22">
        <f>JuneIncome[[#This Row],[ACTUAL]]-JuneIncome[[#This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SUBTOTAL(109,JuneIncome[ESTIMATED])</f>
        <v>90000</v>
      </c>
      <c r="D11" s="21">
        <f>SUBTOTAL(109,JuneIncome[ACTUAL])</f>
        <v>97500</v>
      </c>
      <c r="E11" s="21"/>
      <c r="F11" s="23">
        <f>SUBTOTAL(109,JuneIncome[DIFFERENCE])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5000</v>
      </c>
      <c r="D14" s="51">
        <v>4600</v>
      </c>
      <c r="E14" s="19">
        <f>PersonnelTableJune[[#This Row],[ACTUAL]]+(10^-6)*ROW(PersonnelTableJune[[#This Row],[ACTUAL]])</f>
        <v>4600.0000140000002</v>
      </c>
      <c r="F14" s="24">
        <f>PersonnelTableJune[[#This Row],[ESTIMATED]]-PersonnelTableJune[[#This Row],[ACTUAL]]</f>
        <v>400</v>
      </c>
      <c r="G14" s="4"/>
    </row>
    <row r="15" spans="1:7" ht="15.75" x14ac:dyDescent="0.25">
      <c r="A15" s="4"/>
      <c r="B15" s="47" t="s">
        <v>24</v>
      </c>
      <c r="C15" s="51">
        <v>2000</v>
      </c>
      <c r="D15" s="51">
        <v>0</v>
      </c>
      <c r="E15" s="19">
        <f>PersonnelTableJune[[#This Row],[ACTUAL]]+(10^-6)*ROW(PersonnelTableJune[[#This Row],[ACTUAL]])</f>
        <v>1.4999999999999999E-5</v>
      </c>
      <c r="F15" s="24">
        <f>PersonnelTableJune[[#This Row],[ESTIMATED]]-PersonnelTableJune[[#This Row],[ACTUAL]]</f>
        <v>2000</v>
      </c>
      <c r="G15" s="4"/>
    </row>
    <row r="16" spans="1:7" ht="15.75" x14ac:dyDescent="0.25">
      <c r="A16" s="4"/>
      <c r="B16" s="47" t="s">
        <v>25</v>
      </c>
      <c r="C16" s="51">
        <v>4000</v>
      </c>
      <c r="D16" s="51">
        <v>3000</v>
      </c>
      <c r="E16" s="19">
        <f>PersonnelTableJune[[#This Row],[ACTUAL]]+(10^-6)*ROW(PersonnelTableJune[[#This Row],[ACTUAL]])</f>
        <v>3000.000016</v>
      </c>
      <c r="F16" s="24">
        <f>PersonnelTableJune[[#This Row],[ESTIMATED]]-PersonnelTableJune[[#This Row],[ACTUAL]]</f>
        <v>1000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PersonnelTableJune[[#This Row],[ACTUAL]]+(10^-6)*ROW(PersonnelTableJune[[#This Row],[ACTUAL]])</f>
        <v>1500.0000170000001</v>
      </c>
      <c r="F17" s="24">
        <f>PersonnelTableJune[[#This Row],[ESTIMATED]]-PersonnelTableJune[[#This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SUBTOTAL(109,PersonnelTableJune[ESTIMATED])</f>
        <v>13000</v>
      </c>
      <c r="D18" s="20">
        <f>SUBTOTAL(109,PersonnelTableJune[ACTUAL])</f>
        <v>9100</v>
      </c>
      <c r="E18" s="20"/>
      <c r="F18" s="25">
        <f>SUBTOTAL(109,PersonnelTableJune[DIFFERENCE])</f>
        <v>3900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4000</v>
      </c>
      <c r="D21" s="52">
        <v>2000</v>
      </c>
      <c r="E21" s="16">
        <f>OpExpJune[[#This Row],[ACTUAL]]+(10^-6)*ROW(OpExpJune[[#This Row],[ACTUAL]])</f>
        <v>2000.0000210000001</v>
      </c>
      <c r="F21" s="26">
        <f>OpExpJune[[#This Row],[ESTIMATED]]-OpExpJune[[#This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</v>
      </c>
      <c r="D22" s="52">
        <v>1000</v>
      </c>
      <c r="E22" s="16">
        <f>OpExpJune[[#This Row],[ACTUAL]]+(10^-6)*ROW(OpExpJune[[#This Row],[ACTUAL]])</f>
        <v>1000.0000219999999</v>
      </c>
      <c r="F22" s="26">
        <f>OpExpJune[[#This Row],[ESTIMATED]]-OpExpJune[[#This Row],[ACTUAL]]</f>
        <v>0</v>
      </c>
      <c r="G22" s="4"/>
    </row>
    <row r="23" spans="1:7" ht="15.75" x14ac:dyDescent="0.25">
      <c r="A23" s="4"/>
      <c r="B23" s="50" t="s">
        <v>48</v>
      </c>
      <c r="C23" s="52">
        <v>8000</v>
      </c>
      <c r="D23" s="52">
        <v>10000</v>
      </c>
      <c r="E23" s="16">
        <f>OpExpJune[[#This Row],[ACTUAL]]+(10^-6)*ROW(OpExpJune[[#This Row],[ACTUAL]])</f>
        <v>10000.000023000001</v>
      </c>
      <c r="F23" s="26">
        <f>OpExpJune[[#This Row],[ESTIMATED]]-OpExpJune[[#This Row],[ACTUAL]]</f>
        <v>-2000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7000</v>
      </c>
      <c r="E24" s="16">
        <f>OpExpJune[[#This Row],[ACTUAL]]+(10^-6)*ROW(OpExpJune[[#This Row],[ACTUAL]])</f>
        <v>7000.0000239999999</v>
      </c>
      <c r="F24" s="26">
        <f>OpExpJune[[#This Row],[ESTIMATED]]-OpExpJune[[#This Row],[ACTUAL]]</f>
        <v>-2000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OpExpJune[[#This Row],[ACTUAL]]+(10^-6)*ROW(OpExpJune[[#This Row],[ACTUAL]])</f>
        <v>4500.0000250000003</v>
      </c>
      <c r="F25" s="26">
        <f>OpExpJune[[#This Row],[ESTIMATED]]-OpExpJune[[#This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OpExpJune[[#This Row],[ACTUAL]]+(10^-6)*ROW(OpExpJune[[#This Row],[ACTUAL]])</f>
        <v>4500.0000259999997</v>
      </c>
      <c r="F26" s="26">
        <f>OpExpJune[[#This Row],[ESTIMATED]]-OpExpJune[[#This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OpExpJune[[#This Row],[ACTUAL]]+(10^-6)*ROW(OpExpJune[[#This Row],[ACTUAL]])</f>
        <v>4000.000027</v>
      </c>
      <c r="F27" s="26">
        <f>OpExpJune[[#This Row],[ESTIMATED]]-OpExpJune[[#This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OpExpJune[[#This Row],[ACTUAL]]+(10^-6)*ROW(OpExpJune[[#This Row],[ACTUAL]])</f>
        <v>3500.0000279999999</v>
      </c>
      <c r="F28" s="26">
        <f>OpExpJune[[#This Row],[ESTIMATED]]-OpExpJune[[#This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OpExpJune[[#This Row],[ACTUAL]]+(10^-6)*ROW(OpExpJune[[#This Row],[ACTUAL]])</f>
        <v>3200.0000289999998</v>
      </c>
      <c r="F29" s="26">
        <f>OpExpJune[[#This Row],[ESTIMATED]]-OpExpJune[[#This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OpExpJune[[#This Row],[ACTUAL]]+(10^-6)*ROW(OpExpJune[[#This Row],[ACTUAL]])</f>
        <v>2200.0000300000002</v>
      </c>
      <c r="F30" s="26">
        <f>OpExpJune[[#This Row],[ESTIMATED]]-OpExpJune[[#This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OpExpJune[[#This Row],[ACTUAL]]+(10^-6)*ROW(OpExpJune[[#This Row],[ACTUAL]])</f>
        <v>1500.000031</v>
      </c>
      <c r="F31" s="26">
        <f>OpExpJune[[#This Row],[ESTIMATED]]-OpExpJune[[#This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OpExpJune[[#This Row],[ACTUAL]]+(10^-6)*ROW(OpExpJune[[#This Row],[ACTUAL]])</f>
        <v>1275.0000319999999</v>
      </c>
      <c r="F32" s="26">
        <f>OpExpJune[[#This Row],[ESTIMATED]]-OpExpJune[[#This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OpExpJune[[#This Row],[ACTUAL]]+(10^-6)*ROW(OpExpJune[[#This Row],[ACTUAL]])</f>
        <v>1200.000033</v>
      </c>
      <c r="F33" s="26">
        <f>OpExpJune[[#This Row],[ESTIMATED]]-OpExpJune[[#This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OpExpJune[[#This Row],[ACTUAL]]+(10^-6)*ROW(OpExpJune[[#This Row],[ACTUAL]])</f>
        <v>1000.000034</v>
      </c>
      <c r="F34" s="26">
        <f>OpExpJune[[#This Row],[ESTIMATED]]-OpExpJune[[#This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OpExpJune[[#This Row],[ACTUAL]]+(10^-6)*ROW(OpExpJune[[#This Row],[ACTUAL]])</f>
        <v>1000.000035</v>
      </c>
      <c r="F35" s="26">
        <f>OpExpJune[[#This Row],[ESTIMATED]]-OpExpJune[[#This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OpExpJune[[#This Row],[ACTUAL]]+(10^-6)*ROW(OpExpJune[[#This Row],[ACTUAL]])</f>
        <v>900.00003600000002</v>
      </c>
      <c r="F36" s="26">
        <f>OpExpJune[[#This Row],[ESTIMATED]]-OpExpJune[[#This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OpExpJune[[#This Row],[ACTUAL]]+(10^-6)*ROW(OpExpJune[[#This Row],[ACTUAL]])</f>
        <v>840.00003700000002</v>
      </c>
      <c r="F37" s="26">
        <f>OpExpJune[[#This Row],[ESTIMATED]]-OpExpJune[[#This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OpExpJune[[#This Row],[ACTUAL]]+(10^-6)*ROW(OpExpJune[[#This Row],[ACTUAL]])</f>
        <v>800.00003800000002</v>
      </c>
      <c r="F38" s="26">
        <f>OpExpJune[[#This Row],[ESTIMATED]]-OpExpJune[[#This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OpExpJune[[#This Row],[ACTUAL]]+(10^-6)*ROW(OpExpJune[[#This Row],[ACTUAL]])</f>
        <v>800.00003900000002</v>
      </c>
      <c r="F39" s="26">
        <f>OpExpJune[[#This Row],[ESTIMATED]]-OpExpJune[[#This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OpExpJune[[#This Row],[ACTUAL]]+(10^-6)*ROW(OpExpJune[[#This Row],[ACTUAL]])</f>
        <v>500.00004000000001</v>
      </c>
      <c r="F40" s="26">
        <f>OpExpJune[[#This Row],[ESTIMATED]]-OpExpJune[[#This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OpExpJune[[#This Row],[ACTUAL]]+(10^-6)*ROW(OpExpJune[[#This Row],[ACTUAL]])</f>
        <v>450.00004100000001</v>
      </c>
      <c r="F41" s="26">
        <f>OpExpJune[[#This Row],[ESTIMATED]]-OpExpJune[[#This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OpExpJune[[#This Row],[ACTUAL]]+(10^-6)*ROW(OpExpJune[[#This Row],[ACTUAL]])</f>
        <v>400.00004200000001</v>
      </c>
      <c r="F42" s="26">
        <f>OpExpJune[[#This Row],[ESTIMATED]]-OpExpJune[[#This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OpExpJune[[#This Row],[ACTUAL]]+(10^-6)*ROW(OpExpJune[[#This Row],[ACTUAL]])</f>
        <v>280.00004300000001</v>
      </c>
      <c r="F43" s="26">
        <f>OpExpJune[[#This Row],[ESTIMATED]]-OpExpJune[[#This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OpExpJune[[#This Row],[ACTUAL]]+(10^-6)*ROW(OpExpJune[[#This Row],[ACTUAL]])</f>
        <v>200.000044</v>
      </c>
      <c r="F44" s="26">
        <f>OpExpJune[[#This Row],[ESTIMATED]]-OpExpJune[[#This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OpExpJune[[#This Row],[ACTUAL]]+(10^-6)*ROW(OpExpJune[[#This Row],[ACTUAL]])</f>
        <v>4.4999999999999996E-5</v>
      </c>
      <c r="F45" s="26">
        <f>OpExpJune[[#This Row],[ESTIMATED]]-OpExpJune[[#This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OpExpJune[[#This Row],[ACTUAL]]+(10^-6)*ROW(OpExpJune[[#This Row],[ACTUAL]])</f>
        <v>4.6E-5</v>
      </c>
      <c r="F46" s="26">
        <f>OpExpJune[[#This Row],[ESTIMATED]]-OpExpJune[[#This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OpExpJune[[#This Row],[ACTUAL]]+(10^-6)*ROW(OpExpJune[[#This Row],[ACTUAL]])</f>
        <v>4.6999999999999997E-5</v>
      </c>
      <c r="F47" s="26">
        <f>OpExpJune[[#This Row],[ESTIMATED]]-OpExpJune[[#This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OpExpJune[[#This Row],[ACTUAL]]+(10^-6)*ROW(OpExpJune[[#This Row],[ACTUAL]])</f>
        <v>4.8000000000000001E-5</v>
      </c>
      <c r="F48" s="26">
        <f>OpExpJune[[#This Row],[ESTIMATED]]-OpExpJune[[#This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SUBTOTAL(109,OpExpJune[ESTIMATED])</f>
        <v>51400</v>
      </c>
      <c r="D49" s="18">
        <f>SUBTOTAL(109,OpExpJune[ACTUAL])</f>
        <v>53045</v>
      </c>
      <c r="E49" s="18"/>
      <c r="F49" s="27">
        <f>SUBTOTAL(109,OpExpJune[DIFFERENCE])</f>
        <v>-1645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activeCellId="1" sqref="B2:B3 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42917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JulyIncome[[#Totals],[ESTIMATED]]</f>
        <v>90000</v>
      </c>
      <c r="D5" s="28">
        <f>JulyIncome[[#Totals],[ACTUAL]]</f>
        <v>97500</v>
      </c>
      <c r="E5" s="24">
        <f>TotalsTableJuly[[#This Row],[ACTUAL]]-TotalsTableJuly[[#This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OpExpJuly[[#Totals],[ESTIMATED]]+PersonnelTableJuly[[#Totals],[ESTIMATED]]</f>
        <v>64400</v>
      </c>
      <c r="D6" s="28">
        <f>OpExpJuly[[#Totals],[ACTUAL]]+PersonnelTableJuly[[#Totals],[ACTUAL]]</f>
        <v>62145</v>
      </c>
      <c r="E6" s="24">
        <f>TotalsTableJuly[[#This Row],[ESTIMATED]]-TotalsTableJuly[[#This Row],[ACTUAL]]</f>
        <v>2255</v>
      </c>
      <c r="F6" s="4"/>
    </row>
    <row r="7" spans="1:7" ht="15.75" x14ac:dyDescent="0.25">
      <c r="A7" s="4"/>
      <c r="B7" s="12" t="s">
        <v>7</v>
      </c>
      <c r="C7" s="29">
        <f>C5-C6</f>
        <v>25600</v>
      </c>
      <c r="D7" s="29">
        <f>D5-D6</f>
        <v>35355</v>
      </c>
      <c r="E7" s="29">
        <f>TotalsTableJuly[[#Totals],[ACTUAL]]-TotalsTableJuly[[#Totals],[ESTIMATED]]</f>
        <v>9755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INDEX(OpExpJuly[],(MATCH(Top5ExpJuly[[#This Row],[AMOUNT]],OpExpJuly[TOP 5 AMOUNT],0)),1)</f>
        <v>Pesticides/Chemicals</v>
      </c>
      <c r="C33" s="16">
        <f>LARGE(OpExpJuly[TOP 5 AMOUNT],1)</f>
        <v>10000.000023000001</v>
      </c>
      <c r="D33" s="30">
        <f>Top5ExpJuly[[#This Row],[AMOUNT]]/$D$6</f>
        <v>0.16091399184166064</v>
      </c>
      <c r="E33" s="16">
        <f>Top5ExpJuly[[#This Row],[AMOUNT]]*0.15</f>
        <v>1500.0000034500001</v>
      </c>
      <c r="F33" s="4"/>
    </row>
    <row r="34" spans="1:6" ht="15.75" x14ac:dyDescent="0.25">
      <c r="A34" s="4"/>
      <c r="B34" s="6" t="str">
        <f>INDEX(OpExpJuly[],(MATCH(Top5ExpJuly[[#This Row],[AMOUNT]],OpExpJuly[TOP 5 AMOUNT],0)),1)</f>
        <v>Feed</v>
      </c>
      <c r="C34" s="16">
        <f>LARGE(OpExpJuly[TOP 5 AMOUNT],2)</f>
        <v>7000.0000239999999</v>
      </c>
      <c r="D34" s="30">
        <f>Top5ExpJuly[[#This Row],[AMOUNT]]/$D$6</f>
        <v>0.11263979441628449</v>
      </c>
      <c r="E34" s="16">
        <f>Top5ExpJuly[[#This Row],[AMOUNT]]*0.15</f>
        <v>1050.0000035999999</v>
      </c>
      <c r="F34" s="4"/>
    </row>
    <row r="35" spans="1:6" ht="15.75" x14ac:dyDescent="0.25">
      <c r="A35" s="4"/>
      <c r="B35" s="6" t="str">
        <f>INDEX(OpExpJuly[],(MATCH(Top5ExpJuly[[#This Row],[AMOUNT]],OpExpJuly[TOP 5 AMOUNT],0)),1)</f>
        <v>Supplies</v>
      </c>
      <c r="C35" s="16">
        <f>LARGE(OpExpJuly[TOP 5 AMOUNT],3)</f>
        <v>4500.0000259999997</v>
      </c>
      <c r="D35" s="30">
        <f>Top5ExpJuly[[#This Row],[AMOUNT]]/$D$6</f>
        <v>7.2411296580577683E-2</v>
      </c>
      <c r="E35" s="16">
        <f>Top5ExpJuly[[#This Row],[AMOUNT]]*0.15</f>
        <v>675.00000389999991</v>
      </c>
      <c r="F35" s="4"/>
    </row>
    <row r="36" spans="1:6" ht="15.75" x14ac:dyDescent="0.25">
      <c r="A36" s="4"/>
      <c r="B36" s="6" t="str">
        <f>INDEX(OpExpJuly[],(MATCH(Top5ExpJuly[[#This Row],[AMOUNT]],OpExpJuly[TOP 5 AMOUNT],0)),1)</f>
        <v>Rent or Mortgage</v>
      </c>
      <c r="C36" s="16">
        <f>LARGE(OpExpJuly[TOP 5 AMOUNT],4)</f>
        <v>4500.0000250000003</v>
      </c>
      <c r="D36" s="30">
        <f>Top5ExpJuly[[#This Row],[AMOUNT]]/$D$6</f>
        <v>7.2411296564486291E-2</v>
      </c>
      <c r="E36" s="16">
        <f>Top5ExpJuly[[#This Row],[AMOUNT]]*0.15</f>
        <v>675.00000375000002</v>
      </c>
      <c r="F36" s="4"/>
    </row>
    <row r="37" spans="1:6" ht="15.75" x14ac:dyDescent="0.25">
      <c r="A37" s="4"/>
      <c r="B37" s="6" t="str">
        <f>INDEX(OpExpJuly[],(MATCH(Top5ExpJuly[[#This Row],[AMOUNT]],OpExpJuly[TOP 5 AMOUNT],0)),1)</f>
        <v>Maintenance and Repairs</v>
      </c>
      <c r="C37" s="16">
        <f>LARGE(OpExpJuly[TOP 5 AMOUNT],5)</f>
        <v>4000.000027</v>
      </c>
      <c r="D37" s="30">
        <f>Top5ExpJuly[[#This Row],[AMOUNT]]/$D$6</f>
        <v>6.4365597023091164E-2</v>
      </c>
      <c r="E37" s="16">
        <f>Top5ExpJuly[[#This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SUBTOTAL(109,Top5ExpJuly[AMOUNT])</f>
        <v>30000.000125000006</v>
      </c>
      <c r="D38" s="32">
        <f>SUBTOTAL(109,Top5ExpJuly[% OF EXPENSES])</f>
        <v>0.48274197642610028</v>
      </c>
      <c r="E38" s="31">
        <f>SUBTOTAL(109,Top5ExpJuly[15% REDUCTION])</f>
        <v>4500.00001875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opLeftCell="A8" workbookViewId="0">
      <selection activeCell="B21" activeCellId="3" sqref="B2:B3 B6:D10 B14:D17 B21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</row>
    <row r="3" spans="1:7" ht="33" x14ac:dyDescent="0.45">
      <c r="B3" s="41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JulyIncome[[#This Row],[ACTUAL]]+(10^-6)*ROW(JulyIncome[[#This Row],[ACTUAL]])</f>
        <v>60000.000006000002</v>
      </c>
      <c r="F6" s="22">
        <f>JulyIncome[[#This Row],[ACTUAL]]-JulyIncome[[#This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JulyIncome[[#This Row],[ACTUAL]]+(10^-6)*ROW(JulyIncome[[#This Row],[ACTUAL]])</f>
        <v>28000.000006999999</v>
      </c>
      <c r="F7" s="22">
        <f>JulyIncome[[#This Row],[ACTUAL]]-JulyIncome[[#This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JulyIncome[[#This Row],[ACTUAL]]+(10^-6)*ROW(JulyIncome[[#This Row],[ACTUAL]])</f>
        <v>3000.000008</v>
      </c>
      <c r="F8" s="22">
        <f>JulyIncome[[#This Row],[ACTUAL]]-JulyIncome[[#This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JulyIncome[[#This Row],[ACTUAL]]+(10^-6)*ROW(JulyIncome[[#This Row],[ACTUAL]])</f>
        <v>3000.0000089999999</v>
      </c>
      <c r="F9" s="22">
        <f>JulyIncome[[#This Row],[ACTUAL]]-JulyIncome[[#This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JulyIncome[[#This Row],[ACTUAL]]+(10^-6)*ROW(JulyIncome[[#This Row],[ACTUAL]])</f>
        <v>3500.0000100000002</v>
      </c>
      <c r="F10" s="22">
        <f>JulyIncome[[#This Row],[ACTUAL]]-JulyIncome[[#This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SUBTOTAL(109,JulyIncome[ESTIMATED])</f>
        <v>90000</v>
      </c>
      <c r="D11" s="21">
        <f>SUBTOTAL(109,JulyIncome[ACTUAL])</f>
        <v>97500</v>
      </c>
      <c r="E11" s="21"/>
      <c r="F11" s="23">
        <f>SUBTOTAL(109,JulyIncome[DIFFERENCE])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5000</v>
      </c>
      <c r="D14" s="51">
        <v>4600</v>
      </c>
      <c r="E14" s="19">
        <f>PersonnelTableJuly[[#This Row],[ACTUAL]]+(10^-6)*ROW(PersonnelTableJuly[[#This Row],[ACTUAL]])</f>
        <v>4600.0000140000002</v>
      </c>
      <c r="F14" s="24">
        <f>PersonnelTableJuly[[#This Row],[ESTIMATED]]-PersonnelTableJuly[[#This Row],[ACTUAL]]</f>
        <v>400</v>
      </c>
      <c r="G14" s="4"/>
    </row>
    <row r="15" spans="1:7" ht="15.75" x14ac:dyDescent="0.25">
      <c r="A15" s="4"/>
      <c r="B15" s="47" t="s">
        <v>24</v>
      </c>
      <c r="C15" s="51">
        <v>2000</v>
      </c>
      <c r="D15" s="51">
        <v>0</v>
      </c>
      <c r="E15" s="19">
        <f>PersonnelTableJuly[[#This Row],[ACTUAL]]+(10^-6)*ROW(PersonnelTableJuly[[#This Row],[ACTUAL]])</f>
        <v>1.4999999999999999E-5</v>
      </c>
      <c r="F15" s="24">
        <f>PersonnelTableJuly[[#This Row],[ESTIMATED]]-PersonnelTableJuly[[#This Row],[ACTUAL]]</f>
        <v>2000</v>
      </c>
      <c r="G15" s="4"/>
    </row>
    <row r="16" spans="1:7" ht="15.75" x14ac:dyDescent="0.25">
      <c r="A16" s="4"/>
      <c r="B16" s="47" t="s">
        <v>25</v>
      </c>
      <c r="C16" s="51">
        <v>4000</v>
      </c>
      <c r="D16" s="51">
        <v>3000</v>
      </c>
      <c r="E16" s="19">
        <f>PersonnelTableJuly[[#This Row],[ACTUAL]]+(10^-6)*ROW(PersonnelTableJuly[[#This Row],[ACTUAL]])</f>
        <v>3000.000016</v>
      </c>
      <c r="F16" s="24">
        <f>PersonnelTableJuly[[#This Row],[ESTIMATED]]-PersonnelTableJuly[[#This Row],[ACTUAL]]</f>
        <v>1000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PersonnelTableJuly[[#This Row],[ACTUAL]]+(10^-6)*ROW(PersonnelTableJuly[[#This Row],[ACTUAL]])</f>
        <v>1500.0000170000001</v>
      </c>
      <c r="F17" s="24">
        <f>PersonnelTableJuly[[#This Row],[ESTIMATED]]-PersonnelTableJuly[[#This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SUBTOTAL(109,PersonnelTableJuly[ESTIMATED])</f>
        <v>13000</v>
      </c>
      <c r="D18" s="20">
        <f>SUBTOTAL(109,PersonnelTableJuly[ACTUAL])</f>
        <v>9100</v>
      </c>
      <c r="E18" s="20"/>
      <c r="F18" s="25">
        <f>SUBTOTAL(109,PersonnelTableJuly[DIFFERENCE])</f>
        <v>3900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4000</v>
      </c>
      <c r="D21" s="52">
        <v>2000</v>
      </c>
      <c r="E21" s="16">
        <f>OpExpJuly[[#This Row],[ACTUAL]]+(10^-6)*ROW(OpExpJuly[[#This Row],[ACTUAL]])</f>
        <v>2000.0000210000001</v>
      </c>
      <c r="F21" s="26">
        <f>OpExpJuly[[#This Row],[ESTIMATED]]-OpExpJuly[[#This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</v>
      </c>
      <c r="D22" s="52">
        <v>1000</v>
      </c>
      <c r="E22" s="16">
        <f>OpExpJuly[[#This Row],[ACTUAL]]+(10^-6)*ROW(OpExpJuly[[#This Row],[ACTUAL]])</f>
        <v>1000.0000219999999</v>
      </c>
      <c r="F22" s="26">
        <f>OpExpJuly[[#This Row],[ESTIMATED]]-OpExpJuly[[#This Row],[ACTUAL]]</f>
        <v>0</v>
      </c>
      <c r="G22" s="4"/>
    </row>
    <row r="23" spans="1:7" ht="15.75" x14ac:dyDescent="0.25">
      <c r="A23" s="4"/>
      <c r="B23" s="50" t="s">
        <v>48</v>
      </c>
      <c r="C23" s="52">
        <v>8000</v>
      </c>
      <c r="D23" s="52">
        <v>10000</v>
      </c>
      <c r="E23" s="16">
        <f>OpExpJuly[[#This Row],[ACTUAL]]+(10^-6)*ROW(OpExpJuly[[#This Row],[ACTUAL]])</f>
        <v>10000.000023000001</v>
      </c>
      <c r="F23" s="26">
        <f>OpExpJuly[[#This Row],[ESTIMATED]]-OpExpJuly[[#This Row],[ACTUAL]]</f>
        <v>-2000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7000</v>
      </c>
      <c r="E24" s="16">
        <f>OpExpJuly[[#This Row],[ACTUAL]]+(10^-6)*ROW(OpExpJuly[[#This Row],[ACTUAL]])</f>
        <v>7000.0000239999999</v>
      </c>
      <c r="F24" s="26">
        <f>OpExpJuly[[#This Row],[ESTIMATED]]-OpExpJuly[[#This Row],[ACTUAL]]</f>
        <v>-2000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OpExpJuly[[#This Row],[ACTUAL]]+(10^-6)*ROW(OpExpJuly[[#This Row],[ACTUAL]])</f>
        <v>4500.0000250000003</v>
      </c>
      <c r="F25" s="26">
        <f>OpExpJuly[[#This Row],[ESTIMATED]]-OpExpJuly[[#This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OpExpJuly[[#This Row],[ACTUAL]]+(10^-6)*ROW(OpExpJuly[[#This Row],[ACTUAL]])</f>
        <v>4500.0000259999997</v>
      </c>
      <c r="F26" s="26">
        <f>OpExpJuly[[#This Row],[ESTIMATED]]-OpExpJuly[[#This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OpExpJuly[[#This Row],[ACTUAL]]+(10^-6)*ROW(OpExpJuly[[#This Row],[ACTUAL]])</f>
        <v>4000.000027</v>
      </c>
      <c r="F27" s="26">
        <f>OpExpJuly[[#This Row],[ESTIMATED]]-OpExpJuly[[#This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OpExpJuly[[#This Row],[ACTUAL]]+(10^-6)*ROW(OpExpJuly[[#This Row],[ACTUAL]])</f>
        <v>3500.0000279999999</v>
      </c>
      <c r="F28" s="26">
        <f>OpExpJuly[[#This Row],[ESTIMATED]]-OpExpJuly[[#This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OpExpJuly[[#This Row],[ACTUAL]]+(10^-6)*ROW(OpExpJuly[[#This Row],[ACTUAL]])</f>
        <v>3200.0000289999998</v>
      </c>
      <c r="F29" s="26">
        <f>OpExpJuly[[#This Row],[ESTIMATED]]-OpExpJuly[[#This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OpExpJuly[[#This Row],[ACTUAL]]+(10^-6)*ROW(OpExpJuly[[#This Row],[ACTUAL]])</f>
        <v>2200.0000300000002</v>
      </c>
      <c r="F30" s="26">
        <f>OpExpJuly[[#This Row],[ESTIMATED]]-OpExpJuly[[#This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OpExpJuly[[#This Row],[ACTUAL]]+(10^-6)*ROW(OpExpJuly[[#This Row],[ACTUAL]])</f>
        <v>1500.000031</v>
      </c>
      <c r="F31" s="26">
        <f>OpExpJuly[[#This Row],[ESTIMATED]]-OpExpJuly[[#This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OpExpJuly[[#This Row],[ACTUAL]]+(10^-6)*ROW(OpExpJuly[[#This Row],[ACTUAL]])</f>
        <v>1275.0000319999999</v>
      </c>
      <c r="F32" s="26">
        <f>OpExpJuly[[#This Row],[ESTIMATED]]-OpExpJuly[[#This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OpExpJuly[[#This Row],[ACTUAL]]+(10^-6)*ROW(OpExpJuly[[#This Row],[ACTUAL]])</f>
        <v>1200.000033</v>
      </c>
      <c r="F33" s="26">
        <f>OpExpJuly[[#This Row],[ESTIMATED]]-OpExpJuly[[#This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OpExpJuly[[#This Row],[ACTUAL]]+(10^-6)*ROW(OpExpJuly[[#This Row],[ACTUAL]])</f>
        <v>1000.000034</v>
      </c>
      <c r="F34" s="26">
        <f>OpExpJuly[[#This Row],[ESTIMATED]]-OpExpJuly[[#This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OpExpJuly[[#This Row],[ACTUAL]]+(10^-6)*ROW(OpExpJuly[[#This Row],[ACTUAL]])</f>
        <v>1000.000035</v>
      </c>
      <c r="F35" s="26">
        <f>OpExpJuly[[#This Row],[ESTIMATED]]-OpExpJuly[[#This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OpExpJuly[[#This Row],[ACTUAL]]+(10^-6)*ROW(OpExpJuly[[#This Row],[ACTUAL]])</f>
        <v>900.00003600000002</v>
      </c>
      <c r="F36" s="26">
        <f>OpExpJuly[[#This Row],[ESTIMATED]]-OpExpJuly[[#This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OpExpJuly[[#This Row],[ACTUAL]]+(10^-6)*ROW(OpExpJuly[[#This Row],[ACTUAL]])</f>
        <v>840.00003700000002</v>
      </c>
      <c r="F37" s="26">
        <f>OpExpJuly[[#This Row],[ESTIMATED]]-OpExpJuly[[#This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OpExpJuly[[#This Row],[ACTUAL]]+(10^-6)*ROW(OpExpJuly[[#This Row],[ACTUAL]])</f>
        <v>800.00003800000002</v>
      </c>
      <c r="F38" s="26">
        <f>OpExpJuly[[#This Row],[ESTIMATED]]-OpExpJuly[[#This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OpExpJuly[[#This Row],[ACTUAL]]+(10^-6)*ROW(OpExpJuly[[#This Row],[ACTUAL]])</f>
        <v>800.00003900000002</v>
      </c>
      <c r="F39" s="26">
        <f>OpExpJuly[[#This Row],[ESTIMATED]]-OpExpJuly[[#This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OpExpJuly[[#This Row],[ACTUAL]]+(10^-6)*ROW(OpExpJuly[[#This Row],[ACTUAL]])</f>
        <v>500.00004000000001</v>
      </c>
      <c r="F40" s="26">
        <f>OpExpJuly[[#This Row],[ESTIMATED]]-OpExpJuly[[#This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OpExpJuly[[#This Row],[ACTUAL]]+(10^-6)*ROW(OpExpJuly[[#This Row],[ACTUAL]])</f>
        <v>450.00004100000001</v>
      </c>
      <c r="F41" s="26">
        <f>OpExpJuly[[#This Row],[ESTIMATED]]-OpExpJuly[[#This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OpExpJuly[[#This Row],[ACTUAL]]+(10^-6)*ROW(OpExpJuly[[#This Row],[ACTUAL]])</f>
        <v>400.00004200000001</v>
      </c>
      <c r="F42" s="26">
        <f>OpExpJuly[[#This Row],[ESTIMATED]]-OpExpJuly[[#This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OpExpJuly[[#This Row],[ACTUAL]]+(10^-6)*ROW(OpExpJuly[[#This Row],[ACTUAL]])</f>
        <v>280.00004300000001</v>
      </c>
      <c r="F43" s="26">
        <f>OpExpJuly[[#This Row],[ESTIMATED]]-OpExpJuly[[#This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OpExpJuly[[#This Row],[ACTUAL]]+(10^-6)*ROW(OpExpJuly[[#This Row],[ACTUAL]])</f>
        <v>200.000044</v>
      </c>
      <c r="F44" s="26">
        <f>OpExpJuly[[#This Row],[ESTIMATED]]-OpExpJuly[[#This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OpExpJuly[[#This Row],[ACTUAL]]+(10^-6)*ROW(OpExpJuly[[#This Row],[ACTUAL]])</f>
        <v>4.4999999999999996E-5</v>
      </c>
      <c r="F45" s="26">
        <f>OpExpJuly[[#This Row],[ESTIMATED]]-OpExpJuly[[#This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OpExpJuly[[#This Row],[ACTUAL]]+(10^-6)*ROW(OpExpJuly[[#This Row],[ACTUAL]])</f>
        <v>4.6E-5</v>
      </c>
      <c r="F46" s="26">
        <f>OpExpJuly[[#This Row],[ESTIMATED]]-OpExpJuly[[#This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OpExpJuly[[#This Row],[ACTUAL]]+(10^-6)*ROW(OpExpJuly[[#This Row],[ACTUAL]])</f>
        <v>4.6999999999999997E-5</v>
      </c>
      <c r="F47" s="26">
        <f>OpExpJuly[[#This Row],[ESTIMATED]]-OpExpJuly[[#This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OpExpJuly[[#This Row],[ACTUAL]]+(10^-6)*ROW(OpExpJuly[[#This Row],[ACTUAL]])</f>
        <v>4.8000000000000001E-5</v>
      </c>
      <c r="F48" s="26">
        <f>OpExpJuly[[#This Row],[ESTIMATED]]-OpExpJuly[[#This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SUBTOTAL(109,OpExpJuly[ESTIMATED])</f>
        <v>51400</v>
      </c>
      <c r="D49" s="18">
        <f>SUBTOTAL(109,OpExpJuly[ACTUAL])</f>
        <v>53045</v>
      </c>
      <c r="E49" s="18"/>
      <c r="F49" s="27">
        <f>SUBTOTAL(109,OpExpJuly[DIFFERENCE])</f>
        <v>-1645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activeCellId="1" sqref="B2:B3 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40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42948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AugustIncome[[#Totals],[ESTIMATED]]</f>
        <v>90000</v>
      </c>
      <c r="D5" s="28">
        <f>AugustIncome[[#Totals],[ACTUAL]]</f>
        <v>97500</v>
      </c>
      <c r="E5" s="24">
        <f>TotalsTableAugust[[#This Row],[ACTUAL]]-TotalsTableAugust[[#This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OpExpAugust[[#Totals],[ESTIMATED]]+PersonnelTableAugust[[#Totals],[ESTIMATED]]</f>
        <v>64400</v>
      </c>
      <c r="D6" s="28">
        <f>OpExpAugust[[#Totals],[ACTUAL]]+PersonnelTableAugust[[#Totals],[ACTUAL]]</f>
        <v>62145</v>
      </c>
      <c r="E6" s="24">
        <f>TotalsTableAugust[[#This Row],[ESTIMATED]]-TotalsTableAugust[[#This Row],[ACTUAL]]</f>
        <v>2255</v>
      </c>
      <c r="F6" s="4"/>
    </row>
    <row r="7" spans="1:7" ht="15.75" x14ac:dyDescent="0.25">
      <c r="A7" s="4"/>
      <c r="B7" s="12" t="s">
        <v>7</v>
      </c>
      <c r="C7" s="29">
        <f>C5-C6</f>
        <v>25600</v>
      </c>
      <c r="D7" s="29">
        <f>D5-D6</f>
        <v>35355</v>
      </c>
      <c r="E7" s="29">
        <f>TotalsTableAugust[[#Totals],[ACTUAL]]-TotalsTableAugust[[#Totals],[ESTIMATED]]</f>
        <v>9755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INDEX(OpExpAugust[],(MATCH(Top5ExpAugust[[#This Row],[AMOUNT]],OpExpAugust[TOP 5 AMOUNT],0)),1)</f>
        <v>Pesticides/Chemicals</v>
      </c>
      <c r="C33" s="16">
        <f>LARGE(OpExpAugust[TOP 5 AMOUNT],1)</f>
        <v>10000.000023000001</v>
      </c>
      <c r="D33" s="30">
        <f>Top5ExpAugust[[#This Row],[AMOUNT]]/$D$6</f>
        <v>0.16091399184166064</v>
      </c>
      <c r="E33" s="16">
        <f>Top5ExpAugust[[#This Row],[AMOUNT]]*0.15</f>
        <v>1500.0000034500001</v>
      </c>
      <c r="F33" s="4"/>
    </row>
    <row r="34" spans="1:6" ht="15.75" x14ac:dyDescent="0.25">
      <c r="A34" s="4"/>
      <c r="B34" s="6" t="str">
        <f>INDEX(OpExpAugust[],(MATCH(Top5ExpAugust[[#This Row],[AMOUNT]],OpExpAugust[TOP 5 AMOUNT],0)),1)</f>
        <v>Feed</v>
      </c>
      <c r="C34" s="16">
        <f>LARGE(OpExpAugust[TOP 5 AMOUNT],2)</f>
        <v>7000.0000239999999</v>
      </c>
      <c r="D34" s="30">
        <f>Top5ExpAugust[[#This Row],[AMOUNT]]/$D$6</f>
        <v>0.11263979441628449</v>
      </c>
      <c r="E34" s="16">
        <f>Top5ExpAugust[[#This Row],[AMOUNT]]*0.15</f>
        <v>1050.0000035999999</v>
      </c>
      <c r="F34" s="4"/>
    </row>
    <row r="35" spans="1:6" ht="15.75" x14ac:dyDescent="0.25">
      <c r="A35" s="4"/>
      <c r="B35" s="6" t="str">
        <f>INDEX(OpExpAugust[],(MATCH(Top5ExpAugust[[#This Row],[AMOUNT]],OpExpAugust[TOP 5 AMOUNT],0)),1)</f>
        <v>Supplies</v>
      </c>
      <c r="C35" s="16">
        <f>LARGE(OpExpAugust[TOP 5 AMOUNT],3)</f>
        <v>4500.0000259999997</v>
      </c>
      <c r="D35" s="30">
        <f>Top5ExpAugust[[#This Row],[AMOUNT]]/$D$6</f>
        <v>7.2411296580577683E-2</v>
      </c>
      <c r="E35" s="16">
        <f>Top5ExpAugust[[#This Row],[AMOUNT]]*0.15</f>
        <v>675.00000389999991</v>
      </c>
      <c r="F35" s="4"/>
    </row>
    <row r="36" spans="1:6" ht="15.75" x14ac:dyDescent="0.25">
      <c r="A36" s="4"/>
      <c r="B36" s="6" t="str">
        <f>INDEX(OpExpAugust[],(MATCH(Top5ExpAugust[[#This Row],[AMOUNT]],OpExpAugust[TOP 5 AMOUNT],0)),1)</f>
        <v>Rent or Mortgage</v>
      </c>
      <c r="C36" s="16">
        <f>LARGE(OpExpAugust[TOP 5 AMOUNT],4)</f>
        <v>4500.0000250000003</v>
      </c>
      <c r="D36" s="30">
        <f>Top5ExpAugust[[#This Row],[AMOUNT]]/$D$6</f>
        <v>7.2411296564486291E-2</v>
      </c>
      <c r="E36" s="16">
        <f>Top5ExpAugust[[#This Row],[AMOUNT]]*0.15</f>
        <v>675.00000375000002</v>
      </c>
      <c r="F36" s="4"/>
    </row>
    <row r="37" spans="1:6" ht="15.75" x14ac:dyDescent="0.25">
      <c r="A37" s="4"/>
      <c r="B37" s="6" t="str">
        <f>INDEX(OpExpAugust[],(MATCH(Top5ExpAugust[[#This Row],[AMOUNT]],OpExpAugust[TOP 5 AMOUNT],0)),1)</f>
        <v>Maintenance and Repairs</v>
      </c>
      <c r="C37" s="16">
        <f>LARGE(OpExpAugust[TOP 5 AMOUNT],5)</f>
        <v>4000.000027</v>
      </c>
      <c r="D37" s="30">
        <f>Top5ExpAugust[[#This Row],[AMOUNT]]/$D$6</f>
        <v>6.4365597023091164E-2</v>
      </c>
      <c r="E37" s="16">
        <f>Top5ExpAugust[[#This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SUBTOTAL(109,Top5ExpAugust[AMOUNT])</f>
        <v>30000.000125000006</v>
      </c>
      <c r="D38" s="32">
        <f>SUBTOTAL(109,Top5ExpAugust[% OF EXPENSES])</f>
        <v>0.48274197642610028</v>
      </c>
      <c r="E38" s="31">
        <f>SUBTOTAL(109,Top5ExpAugust[15% REDUCTION])</f>
        <v>4500.00001875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opLeftCell="A8" workbookViewId="0">
      <selection activeCell="B21" activeCellId="2" sqref="B6:D10 B14:D17 B21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</row>
    <row r="3" spans="1:7" ht="33" x14ac:dyDescent="0.45">
      <c r="B3" s="3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AugustIncome[[#This Row],[ACTUAL]]+(10^-6)*ROW(AugustIncome[[#This Row],[ACTUAL]])</f>
        <v>60000.000006000002</v>
      </c>
      <c r="F6" s="22">
        <f>AugustIncome[[#This Row],[ACTUAL]]-AugustIncome[[#This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AugustIncome[[#This Row],[ACTUAL]]+(10^-6)*ROW(AugustIncome[[#This Row],[ACTUAL]])</f>
        <v>28000.000006999999</v>
      </c>
      <c r="F7" s="22">
        <f>AugustIncome[[#This Row],[ACTUAL]]-AugustIncome[[#This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AugustIncome[[#This Row],[ACTUAL]]+(10^-6)*ROW(AugustIncome[[#This Row],[ACTUAL]])</f>
        <v>3000.000008</v>
      </c>
      <c r="F8" s="22">
        <f>AugustIncome[[#This Row],[ACTUAL]]-AugustIncome[[#This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AugustIncome[[#This Row],[ACTUAL]]+(10^-6)*ROW(AugustIncome[[#This Row],[ACTUAL]])</f>
        <v>3000.0000089999999</v>
      </c>
      <c r="F9" s="22">
        <f>AugustIncome[[#This Row],[ACTUAL]]-AugustIncome[[#This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AugustIncome[[#This Row],[ACTUAL]]+(10^-6)*ROW(AugustIncome[[#This Row],[ACTUAL]])</f>
        <v>3500.0000100000002</v>
      </c>
      <c r="F10" s="22">
        <f>AugustIncome[[#This Row],[ACTUAL]]-AugustIncome[[#This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SUBTOTAL(109,AugustIncome[ESTIMATED])</f>
        <v>90000</v>
      </c>
      <c r="D11" s="21">
        <f>SUBTOTAL(109,AugustIncome[ACTUAL])</f>
        <v>97500</v>
      </c>
      <c r="E11" s="21"/>
      <c r="F11" s="23">
        <f>SUBTOTAL(109,AugustIncome[DIFFERENCE])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5000</v>
      </c>
      <c r="D14" s="51">
        <v>4600</v>
      </c>
      <c r="E14" s="19">
        <f>PersonnelTableAugust[[#This Row],[ACTUAL]]+(10^-6)*ROW(PersonnelTableAugust[[#This Row],[ACTUAL]])</f>
        <v>4600.0000140000002</v>
      </c>
      <c r="F14" s="24">
        <f>PersonnelTableAugust[[#This Row],[ESTIMATED]]-PersonnelTableAugust[[#This Row],[ACTUAL]]</f>
        <v>400</v>
      </c>
      <c r="G14" s="4"/>
    </row>
    <row r="15" spans="1:7" ht="15.75" x14ac:dyDescent="0.25">
      <c r="A15" s="4"/>
      <c r="B15" s="47" t="s">
        <v>24</v>
      </c>
      <c r="C15" s="51">
        <v>2000</v>
      </c>
      <c r="D15" s="51">
        <v>0</v>
      </c>
      <c r="E15" s="19">
        <f>PersonnelTableAugust[[#This Row],[ACTUAL]]+(10^-6)*ROW(PersonnelTableAugust[[#This Row],[ACTUAL]])</f>
        <v>1.4999999999999999E-5</v>
      </c>
      <c r="F15" s="24">
        <f>PersonnelTableAugust[[#This Row],[ESTIMATED]]-PersonnelTableAugust[[#This Row],[ACTUAL]]</f>
        <v>2000</v>
      </c>
      <c r="G15" s="4"/>
    </row>
    <row r="16" spans="1:7" ht="15.75" x14ac:dyDescent="0.25">
      <c r="A16" s="4"/>
      <c r="B16" s="47" t="s">
        <v>25</v>
      </c>
      <c r="C16" s="51">
        <v>4000</v>
      </c>
      <c r="D16" s="51">
        <v>3000</v>
      </c>
      <c r="E16" s="19">
        <f>PersonnelTableAugust[[#This Row],[ACTUAL]]+(10^-6)*ROW(PersonnelTableAugust[[#This Row],[ACTUAL]])</f>
        <v>3000.000016</v>
      </c>
      <c r="F16" s="24">
        <f>PersonnelTableAugust[[#This Row],[ESTIMATED]]-PersonnelTableAugust[[#This Row],[ACTUAL]]</f>
        <v>1000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PersonnelTableAugust[[#This Row],[ACTUAL]]+(10^-6)*ROW(PersonnelTableAugust[[#This Row],[ACTUAL]])</f>
        <v>1500.0000170000001</v>
      </c>
      <c r="F17" s="24">
        <f>PersonnelTableAugust[[#This Row],[ESTIMATED]]-PersonnelTableAugust[[#This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SUBTOTAL(109,PersonnelTableAugust[ESTIMATED])</f>
        <v>13000</v>
      </c>
      <c r="D18" s="20">
        <f>SUBTOTAL(109,PersonnelTableAugust[ACTUAL])</f>
        <v>9100</v>
      </c>
      <c r="E18" s="20"/>
      <c r="F18" s="25">
        <f>SUBTOTAL(109,PersonnelTableAugust[DIFFERENCE])</f>
        <v>3900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4000</v>
      </c>
      <c r="D21" s="52">
        <v>2000</v>
      </c>
      <c r="E21" s="16">
        <f>OpExpAugust[[#This Row],[ACTUAL]]+(10^-6)*ROW(OpExpAugust[[#This Row],[ACTUAL]])</f>
        <v>2000.0000210000001</v>
      </c>
      <c r="F21" s="26">
        <f>OpExpAugust[[#This Row],[ESTIMATED]]-OpExpAugust[[#This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</v>
      </c>
      <c r="D22" s="52">
        <v>1000</v>
      </c>
      <c r="E22" s="16">
        <f>OpExpAugust[[#This Row],[ACTUAL]]+(10^-6)*ROW(OpExpAugust[[#This Row],[ACTUAL]])</f>
        <v>1000.0000219999999</v>
      </c>
      <c r="F22" s="26">
        <f>OpExpAugust[[#This Row],[ESTIMATED]]-OpExpAugust[[#This Row],[ACTUAL]]</f>
        <v>0</v>
      </c>
      <c r="G22" s="4"/>
    </row>
    <row r="23" spans="1:7" ht="15.75" x14ac:dyDescent="0.25">
      <c r="A23" s="4"/>
      <c r="B23" s="50" t="s">
        <v>48</v>
      </c>
      <c r="C23" s="52">
        <v>8000</v>
      </c>
      <c r="D23" s="52">
        <v>10000</v>
      </c>
      <c r="E23" s="16">
        <f>OpExpAugust[[#This Row],[ACTUAL]]+(10^-6)*ROW(OpExpAugust[[#This Row],[ACTUAL]])</f>
        <v>10000.000023000001</v>
      </c>
      <c r="F23" s="26">
        <f>OpExpAugust[[#This Row],[ESTIMATED]]-OpExpAugust[[#This Row],[ACTUAL]]</f>
        <v>-2000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7000</v>
      </c>
      <c r="E24" s="16">
        <f>OpExpAugust[[#This Row],[ACTUAL]]+(10^-6)*ROW(OpExpAugust[[#This Row],[ACTUAL]])</f>
        <v>7000.0000239999999</v>
      </c>
      <c r="F24" s="26">
        <f>OpExpAugust[[#This Row],[ESTIMATED]]-OpExpAugust[[#This Row],[ACTUAL]]</f>
        <v>-2000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OpExpAugust[[#This Row],[ACTUAL]]+(10^-6)*ROW(OpExpAugust[[#This Row],[ACTUAL]])</f>
        <v>4500.0000250000003</v>
      </c>
      <c r="F25" s="26">
        <f>OpExpAugust[[#This Row],[ESTIMATED]]-OpExpAugust[[#This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OpExpAugust[[#This Row],[ACTUAL]]+(10^-6)*ROW(OpExpAugust[[#This Row],[ACTUAL]])</f>
        <v>4500.0000259999997</v>
      </c>
      <c r="F26" s="26">
        <f>OpExpAugust[[#This Row],[ESTIMATED]]-OpExpAugust[[#This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OpExpAugust[[#This Row],[ACTUAL]]+(10^-6)*ROW(OpExpAugust[[#This Row],[ACTUAL]])</f>
        <v>4000.000027</v>
      </c>
      <c r="F27" s="26">
        <f>OpExpAugust[[#This Row],[ESTIMATED]]-OpExpAugust[[#This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OpExpAugust[[#This Row],[ACTUAL]]+(10^-6)*ROW(OpExpAugust[[#This Row],[ACTUAL]])</f>
        <v>3500.0000279999999</v>
      </c>
      <c r="F28" s="26">
        <f>OpExpAugust[[#This Row],[ESTIMATED]]-OpExpAugust[[#This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OpExpAugust[[#This Row],[ACTUAL]]+(10^-6)*ROW(OpExpAugust[[#This Row],[ACTUAL]])</f>
        <v>3200.0000289999998</v>
      </c>
      <c r="F29" s="26">
        <f>OpExpAugust[[#This Row],[ESTIMATED]]-OpExpAugust[[#This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OpExpAugust[[#This Row],[ACTUAL]]+(10^-6)*ROW(OpExpAugust[[#This Row],[ACTUAL]])</f>
        <v>2200.0000300000002</v>
      </c>
      <c r="F30" s="26">
        <f>OpExpAugust[[#This Row],[ESTIMATED]]-OpExpAugust[[#This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OpExpAugust[[#This Row],[ACTUAL]]+(10^-6)*ROW(OpExpAugust[[#This Row],[ACTUAL]])</f>
        <v>1500.000031</v>
      </c>
      <c r="F31" s="26">
        <f>OpExpAugust[[#This Row],[ESTIMATED]]-OpExpAugust[[#This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OpExpAugust[[#This Row],[ACTUAL]]+(10^-6)*ROW(OpExpAugust[[#This Row],[ACTUAL]])</f>
        <v>1275.0000319999999</v>
      </c>
      <c r="F32" s="26">
        <f>OpExpAugust[[#This Row],[ESTIMATED]]-OpExpAugust[[#This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OpExpAugust[[#This Row],[ACTUAL]]+(10^-6)*ROW(OpExpAugust[[#This Row],[ACTUAL]])</f>
        <v>1200.000033</v>
      </c>
      <c r="F33" s="26">
        <f>OpExpAugust[[#This Row],[ESTIMATED]]-OpExpAugust[[#This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OpExpAugust[[#This Row],[ACTUAL]]+(10^-6)*ROW(OpExpAugust[[#This Row],[ACTUAL]])</f>
        <v>1000.000034</v>
      </c>
      <c r="F34" s="26">
        <f>OpExpAugust[[#This Row],[ESTIMATED]]-OpExpAugust[[#This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OpExpAugust[[#This Row],[ACTUAL]]+(10^-6)*ROW(OpExpAugust[[#This Row],[ACTUAL]])</f>
        <v>1000.000035</v>
      </c>
      <c r="F35" s="26">
        <f>OpExpAugust[[#This Row],[ESTIMATED]]-OpExpAugust[[#This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OpExpAugust[[#This Row],[ACTUAL]]+(10^-6)*ROW(OpExpAugust[[#This Row],[ACTUAL]])</f>
        <v>900.00003600000002</v>
      </c>
      <c r="F36" s="26">
        <f>OpExpAugust[[#This Row],[ESTIMATED]]-OpExpAugust[[#This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OpExpAugust[[#This Row],[ACTUAL]]+(10^-6)*ROW(OpExpAugust[[#This Row],[ACTUAL]])</f>
        <v>840.00003700000002</v>
      </c>
      <c r="F37" s="26">
        <f>OpExpAugust[[#This Row],[ESTIMATED]]-OpExpAugust[[#This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OpExpAugust[[#This Row],[ACTUAL]]+(10^-6)*ROW(OpExpAugust[[#This Row],[ACTUAL]])</f>
        <v>800.00003800000002</v>
      </c>
      <c r="F38" s="26">
        <f>OpExpAugust[[#This Row],[ESTIMATED]]-OpExpAugust[[#This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OpExpAugust[[#This Row],[ACTUAL]]+(10^-6)*ROW(OpExpAugust[[#This Row],[ACTUAL]])</f>
        <v>800.00003900000002</v>
      </c>
      <c r="F39" s="26">
        <f>OpExpAugust[[#This Row],[ESTIMATED]]-OpExpAugust[[#This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OpExpAugust[[#This Row],[ACTUAL]]+(10^-6)*ROW(OpExpAugust[[#This Row],[ACTUAL]])</f>
        <v>500.00004000000001</v>
      </c>
      <c r="F40" s="26">
        <f>OpExpAugust[[#This Row],[ESTIMATED]]-OpExpAugust[[#This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OpExpAugust[[#This Row],[ACTUAL]]+(10^-6)*ROW(OpExpAugust[[#This Row],[ACTUAL]])</f>
        <v>450.00004100000001</v>
      </c>
      <c r="F41" s="26">
        <f>OpExpAugust[[#This Row],[ESTIMATED]]-OpExpAugust[[#This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OpExpAugust[[#This Row],[ACTUAL]]+(10^-6)*ROW(OpExpAugust[[#This Row],[ACTUAL]])</f>
        <v>400.00004200000001</v>
      </c>
      <c r="F42" s="26">
        <f>OpExpAugust[[#This Row],[ESTIMATED]]-OpExpAugust[[#This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OpExpAugust[[#This Row],[ACTUAL]]+(10^-6)*ROW(OpExpAugust[[#This Row],[ACTUAL]])</f>
        <v>280.00004300000001</v>
      </c>
      <c r="F43" s="26">
        <f>OpExpAugust[[#This Row],[ESTIMATED]]-OpExpAugust[[#This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OpExpAugust[[#This Row],[ACTUAL]]+(10^-6)*ROW(OpExpAugust[[#This Row],[ACTUAL]])</f>
        <v>200.000044</v>
      </c>
      <c r="F44" s="26">
        <f>OpExpAugust[[#This Row],[ESTIMATED]]-OpExpAugust[[#This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OpExpAugust[[#This Row],[ACTUAL]]+(10^-6)*ROW(OpExpAugust[[#This Row],[ACTUAL]])</f>
        <v>4.4999999999999996E-5</v>
      </c>
      <c r="F45" s="26">
        <f>OpExpAugust[[#This Row],[ESTIMATED]]-OpExpAugust[[#This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OpExpAugust[[#This Row],[ACTUAL]]+(10^-6)*ROW(OpExpAugust[[#This Row],[ACTUAL]])</f>
        <v>4.6E-5</v>
      </c>
      <c r="F46" s="26">
        <f>OpExpAugust[[#This Row],[ESTIMATED]]-OpExpAugust[[#This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OpExpAugust[[#This Row],[ACTUAL]]+(10^-6)*ROW(OpExpAugust[[#This Row],[ACTUAL]])</f>
        <v>4.6999999999999997E-5</v>
      </c>
      <c r="F47" s="26">
        <f>OpExpAugust[[#This Row],[ESTIMATED]]-OpExpAugust[[#This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OpExpAugust[[#This Row],[ACTUAL]]+(10^-6)*ROW(OpExpAugust[[#This Row],[ACTUAL]])</f>
        <v>4.8000000000000001E-5</v>
      </c>
      <c r="F48" s="26">
        <f>OpExpAugust[[#This Row],[ESTIMATED]]-OpExpAugust[[#This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SUBTOTAL(109,OpExpAugust[ESTIMATED])</f>
        <v>51400</v>
      </c>
      <c r="D49" s="18">
        <f>SUBTOTAL(109,OpExpAugust[ACTUAL])</f>
        <v>53045</v>
      </c>
      <c r="E49" s="18"/>
      <c r="F49" s="27">
        <f>SUBTOTAL(109,OpExpAugust[DIFFERENCE])</f>
        <v>-1645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activeCellId="1" sqref="B3 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42979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SeptIncome[[#Totals],[ESTIMATED]]</f>
        <v>90000</v>
      </c>
      <c r="D5" s="28">
        <f>SeptIncome[[#Totals],[ACTUAL]]</f>
        <v>97500</v>
      </c>
      <c r="E5" s="24">
        <f>TotalsTableSeptember[[#This Row],[ACTUAL]]-TotalsTableSeptember[[#This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OpExpSept[[#Totals],[ESTIMATED]]+PersonnelTableSept[[#Totals],[ESTIMATED]]</f>
        <v>64400</v>
      </c>
      <c r="D6" s="28">
        <f>OpExpSept[[#Totals],[ACTUAL]]+PersonnelTableSept[[#Totals],[ACTUAL]]</f>
        <v>62145</v>
      </c>
      <c r="E6" s="24">
        <f>TotalsTableSeptember[[#This Row],[ESTIMATED]]-TotalsTableSeptember[[#This Row],[ACTUAL]]</f>
        <v>2255</v>
      </c>
      <c r="F6" s="4"/>
    </row>
    <row r="7" spans="1:7" ht="15.75" x14ac:dyDescent="0.25">
      <c r="A7" s="4"/>
      <c r="B7" s="12" t="s">
        <v>7</v>
      </c>
      <c r="C7" s="29">
        <f>C5-C6</f>
        <v>25600</v>
      </c>
      <c r="D7" s="29">
        <f>D5-D6</f>
        <v>35355</v>
      </c>
      <c r="E7" s="29">
        <f>TotalsTableSeptember[[#Totals],[ACTUAL]]-TotalsTableSeptember[[#Totals],[ESTIMATED]]</f>
        <v>9755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INDEX(OpExpSept[],(MATCH(Top5ExpSeptember[[#This Row],[AMOUNT]],OpExpSept[TOP 5 AMOUNT],0)),1)</f>
        <v>Pesticides/Chemicals</v>
      </c>
      <c r="C33" s="16">
        <f>LARGE(OpExpSept[TOP 5 AMOUNT],1)</f>
        <v>10000.000023000001</v>
      </c>
      <c r="D33" s="30">
        <f>Top5ExpSeptember[[#This Row],[AMOUNT]]/$D$6</f>
        <v>0.16091399184166064</v>
      </c>
      <c r="E33" s="16">
        <f>Top5ExpSeptember[[#This Row],[AMOUNT]]*0.15</f>
        <v>1500.0000034500001</v>
      </c>
      <c r="F33" s="4"/>
    </row>
    <row r="34" spans="1:6" ht="15.75" x14ac:dyDescent="0.25">
      <c r="A34" s="4"/>
      <c r="B34" s="6" t="str">
        <f>INDEX(OpExpSept[],(MATCH(Top5ExpSeptember[[#This Row],[AMOUNT]],OpExpSept[TOP 5 AMOUNT],0)),1)</f>
        <v>Feed</v>
      </c>
      <c r="C34" s="16">
        <f>LARGE(OpExpSept[TOP 5 AMOUNT],2)</f>
        <v>7000.0000239999999</v>
      </c>
      <c r="D34" s="30">
        <f>Top5ExpSeptember[[#This Row],[AMOUNT]]/$D$6</f>
        <v>0.11263979441628449</v>
      </c>
      <c r="E34" s="16">
        <f>Top5ExpSeptember[[#This Row],[AMOUNT]]*0.15</f>
        <v>1050.0000035999999</v>
      </c>
      <c r="F34" s="4"/>
    </row>
    <row r="35" spans="1:6" ht="15.75" x14ac:dyDescent="0.25">
      <c r="A35" s="4"/>
      <c r="B35" s="6" t="str">
        <f>INDEX(OpExpSept[],(MATCH(Top5ExpSeptember[[#This Row],[AMOUNT]],OpExpSept[TOP 5 AMOUNT],0)),1)</f>
        <v>Supplies</v>
      </c>
      <c r="C35" s="16">
        <f>LARGE(OpExpSept[TOP 5 AMOUNT],3)</f>
        <v>4500.0000259999997</v>
      </c>
      <c r="D35" s="30">
        <f>Top5ExpSeptember[[#This Row],[AMOUNT]]/$D$6</f>
        <v>7.2411296580577683E-2</v>
      </c>
      <c r="E35" s="16">
        <f>Top5ExpSeptember[[#This Row],[AMOUNT]]*0.15</f>
        <v>675.00000389999991</v>
      </c>
      <c r="F35" s="4"/>
    </row>
    <row r="36" spans="1:6" ht="15.75" x14ac:dyDescent="0.25">
      <c r="A36" s="4"/>
      <c r="B36" s="6" t="str">
        <f>INDEX(OpExpSept[],(MATCH(Top5ExpSeptember[[#This Row],[AMOUNT]],OpExpSept[TOP 5 AMOUNT],0)),1)</f>
        <v>Rent or Mortgage</v>
      </c>
      <c r="C36" s="16">
        <f>LARGE(OpExpSept[TOP 5 AMOUNT],4)</f>
        <v>4500.0000250000003</v>
      </c>
      <c r="D36" s="30">
        <f>Top5ExpSeptember[[#This Row],[AMOUNT]]/$D$6</f>
        <v>7.2411296564486291E-2</v>
      </c>
      <c r="E36" s="16">
        <f>Top5ExpSeptember[[#This Row],[AMOUNT]]*0.15</f>
        <v>675.00000375000002</v>
      </c>
      <c r="F36" s="4"/>
    </row>
    <row r="37" spans="1:6" ht="15.75" x14ac:dyDescent="0.25">
      <c r="A37" s="4"/>
      <c r="B37" s="6" t="str">
        <f>INDEX(OpExpSept[],(MATCH(Top5ExpSeptember[[#This Row],[AMOUNT]],OpExpSept[TOP 5 AMOUNT],0)),1)</f>
        <v>Maintenance and Repairs</v>
      </c>
      <c r="C37" s="16">
        <f>LARGE(OpExpSept[TOP 5 AMOUNT],5)</f>
        <v>4000.000027</v>
      </c>
      <c r="D37" s="30">
        <f>Top5ExpSeptember[[#This Row],[AMOUNT]]/$D$6</f>
        <v>6.4365597023091164E-2</v>
      </c>
      <c r="E37" s="16">
        <f>Top5ExpSeptember[[#This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SUBTOTAL(109,Top5ExpSeptember[AMOUNT])</f>
        <v>30000.000125000006</v>
      </c>
      <c r="D38" s="32">
        <f>SUBTOTAL(109,Top5ExpSeptember[% OF EXPENSES])</f>
        <v>0.48274197642610028</v>
      </c>
      <c r="E38" s="31">
        <f>SUBTOTAL(109,Top5ExpSeptember[15% REDUCTION])</f>
        <v>4500.00001875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opLeftCell="A11" workbookViewId="0">
      <selection activeCell="B21" activeCellId="3" sqref="B3 B6:D10 B14:D17 B21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</row>
    <row r="3" spans="1:7" ht="33" x14ac:dyDescent="0.45">
      <c r="B3" s="41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SeptIncome[[#This Row],[ACTUAL]]+(10^-6)*ROW(SeptIncome[[#This Row],[ACTUAL]])</f>
        <v>60000.000006000002</v>
      </c>
      <c r="F6" s="22">
        <f>SeptIncome[[#This Row],[ACTUAL]]-SeptIncome[[#This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SeptIncome[[#This Row],[ACTUAL]]+(10^-6)*ROW(SeptIncome[[#This Row],[ACTUAL]])</f>
        <v>28000.000006999999</v>
      </c>
      <c r="F7" s="22">
        <f>SeptIncome[[#This Row],[ACTUAL]]-SeptIncome[[#This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SeptIncome[[#This Row],[ACTUAL]]+(10^-6)*ROW(SeptIncome[[#This Row],[ACTUAL]])</f>
        <v>3000.000008</v>
      </c>
      <c r="F8" s="22">
        <f>SeptIncome[[#This Row],[ACTUAL]]-SeptIncome[[#This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SeptIncome[[#This Row],[ACTUAL]]+(10^-6)*ROW(SeptIncome[[#This Row],[ACTUAL]])</f>
        <v>3000.0000089999999</v>
      </c>
      <c r="F9" s="22">
        <f>SeptIncome[[#This Row],[ACTUAL]]-SeptIncome[[#This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SeptIncome[[#This Row],[ACTUAL]]+(10^-6)*ROW(SeptIncome[[#This Row],[ACTUAL]])</f>
        <v>3500.0000100000002</v>
      </c>
      <c r="F10" s="22">
        <f>SeptIncome[[#This Row],[ACTUAL]]-SeptIncome[[#This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SUBTOTAL(109,SeptIncome[ESTIMATED])</f>
        <v>90000</v>
      </c>
      <c r="D11" s="21">
        <f>SUBTOTAL(109,SeptIncome[ACTUAL])</f>
        <v>97500</v>
      </c>
      <c r="E11" s="21"/>
      <c r="F11" s="23">
        <f>SUBTOTAL(109,SeptIncome[DIFFERENCE])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5000</v>
      </c>
      <c r="D14" s="51">
        <v>4600</v>
      </c>
      <c r="E14" s="19">
        <f>PersonnelTableSept[[#This Row],[ACTUAL]]+(10^-6)*ROW(PersonnelTableSept[[#This Row],[ACTUAL]])</f>
        <v>4600.0000140000002</v>
      </c>
      <c r="F14" s="24">
        <f>PersonnelTableSept[[#This Row],[ESTIMATED]]-PersonnelTableSept[[#This Row],[ACTUAL]]</f>
        <v>400</v>
      </c>
      <c r="G14" s="4"/>
    </row>
    <row r="15" spans="1:7" ht="15.75" x14ac:dyDescent="0.25">
      <c r="A15" s="4"/>
      <c r="B15" s="47" t="s">
        <v>24</v>
      </c>
      <c r="C15" s="51">
        <v>2000</v>
      </c>
      <c r="D15" s="51">
        <v>0</v>
      </c>
      <c r="E15" s="19">
        <f>PersonnelTableSept[[#This Row],[ACTUAL]]+(10^-6)*ROW(PersonnelTableSept[[#This Row],[ACTUAL]])</f>
        <v>1.4999999999999999E-5</v>
      </c>
      <c r="F15" s="24">
        <f>PersonnelTableSept[[#This Row],[ESTIMATED]]-PersonnelTableSept[[#This Row],[ACTUAL]]</f>
        <v>2000</v>
      </c>
      <c r="G15" s="4"/>
    </row>
    <row r="16" spans="1:7" ht="15.75" x14ac:dyDescent="0.25">
      <c r="A16" s="4"/>
      <c r="B16" s="47" t="s">
        <v>25</v>
      </c>
      <c r="C16" s="51">
        <v>4000</v>
      </c>
      <c r="D16" s="51">
        <v>3000</v>
      </c>
      <c r="E16" s="19">
        <f>PersonnelTableSept[[#This Row],[ACTUAL]]+(10^-6)*ROW(PersonnelTableSept[[#This Row],[ACTUAL]])</f>
        <v>3000.000016</v>
      </c>
      <c r="F16" s="24">
        <f>PersonnelTableSept[[#This Row],[ESTIMATED]]-PersonnelTableSept[[#This Row],[ACTUAL]]</f>
        <v>1000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PersonnelTableSept[[#This Row],[ACTUAL]]+(10^-6)*ROW(PersonnelTableSept[[#This Row],[ACTUAL]])</f>
        <v>1500.0000170000001</v>
      </c>
      <c r="F17" s="24">
        <f>PersonnelTableSept[[#This Row],[ESTIMATED]]-PersonnelTableSept[[#This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SUBTOTAL(109,PersonnelTableSept[ESTIMATED])</f>
        <v>13000</v>
      </c>
      <c r="D18" s="20">
        <f>SUBTOTAL(109,PersonnelTableSept[ACTUAL])</f>
        <v>9100</v>
      </c>
      <c r="E18" s="20"/>
      <c r="F18" s="25">
        <f>SUBTOTAL(109,PersonnelTableSept[DIFFERENCE])</f>
        <v>3900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4000</v>
      </c>
      <c r="D21" s="52">
        <v>2000</v>
      </c>
      <c r="E21" s="16">
        <f>OpExpSept[[#This Row],[ACTUAL]]+(10^-6)*ROW(OpExpSept[[#This Row],[ACTUAL]])</f>
        <v>2000.0000210000001</v>
      </c>
      <c r="F21" s="26">
        <f>OpExpSept[[#This Row],[ESTIMATED]]-OpExpSept[[#This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</v>
      </c>
      <c r="D22" s="52">
        <v>1000</v>
      </c>
      <c r="E22" s="16">
        <f>OpExpSept[[#This Row],[ACTUAL]]+(10^-6)*ROW(OpExpSept[[#This Row],[ACTUAL]])</f>
        <v>1000.0000219999999</v>
      </c>
      <c r="F22" s="26">
        <f>OpExpSept[[#This Row],[ESTIMATED]]-OpExpSept[[#This Row],[ACTUAL]]</f>
        <v>0</v>
      </c>
      <c r="G22" s="4"/>
    </row>
    <row r="23" spans="1:7" ht="15.75" x14ac:dyDescent="0.25">
      <c r="A23" s="4"/>
      <c r="B23" s="50" t="s">
        <v>48</v>
      </c>
      <c r="C23" s="52">
        <v>8000</v>
      </c>
      <c r="D23" s="52">
        <v>10000</v>
      </c>
      <c r="E23" s="16">
        <f>OpExpSept[[#This Row],[ACTUAL]]+(10^-6)*ROW(OpExpSept[[#This Row],[ACTUAL]])</f>
        <v>10000.000023000001</v>
      </c>
      <c r="F23" s="26">
        <f>OpExpSept[[#This Row],[ESTIMATED]]-OpExpSept[[#This Row],[ACTUAL]]</f>
        <v>-2000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7000</v>
      </c>
      <c r="E24" s="16">
        <f>OpExpSept[[#This Row],[ACTUAL]]+(10^-6)*ROW(OpExpSept[[#This Row],[ACTUAL]])</f>
        <v>7000.0000239999999</v>
      </c>
      <c r="F24" s="26">
        <f>OpExpSept[[#This Row],[ESTIMATED]]-OpExpSept[[#This Row],[ACTUAL]]</f>
        <v>-2000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OpExpSept[[#This Row],[ACTUAL]]+(10^-6)*ROW(OpExpSept[[#This Row],[ACTUAL]])</f>
        <v>4500.0000250000003</v>
      </c>
      <c r="F25" s="26">
        <f>OpExpSept[[#This Row],[ESTIMATED]]-OpExpSept[[#This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OpExpSept[[#This Row],[ACTUAL]]+(10^-6)*ROW(OpExpSept[[#This Row],[ACTUAL]])</f>
        <v>4500.0000259999997</v>
      </c>
      <c r="F26" s="26">
        <f>OpExpSept[[#This Row],[ESTIMATED]]-OpExpSept[[#This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OpExpSept[[#This Row],[ACTUAL]]+(10^-6)*ROW(OpExpSept[[#This Row],[ACTUAL]])</f>
        <v>4000.000027</v>
      </c>
      <c r="F27" s="26">
        <f>OpExpSept[[#This Row],[ESTIMATED]]-OpExpSept[[#This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OpExpSept[[#This Row],[ACTUAL]]+(10^-6)*ROW(OpExpSept[[#This Row],[ACTUAL]])</f>
        <v>3500.0000279999999</v>
      </c>
      <c r="F28" s="26">
        <f>OpExpSept[[#This Row],[ESTIMATED]]-OpExpSept[[#This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OpExpSept[[#This Row],[ACTUAL]]+(10^-6)*ROW(OpExpSept[[#This Row],[ACTUAL]])</f>
        <v>3200.0000289999998</v>
      </c>
      <c r="F29" s="26">
        <f>OpExpSept[[#This Row],[ESTIMATED]]-OpExpSept[[#This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OpExpSept[[#This Row],[ACTUAL]]+(10^-6)*ROW(OpExpSept[[#This Row],[ACTUAL]])</f>
        <v>2200.0000300000002</v>
      </c>
      <c r="F30" s="26">
        <f>OpExpSept[[#This Row],[ESTIMATED]]-OpExpSept[[#This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OpExpSept[[#This Row],[ACTUAL]]+(10^-6)*ROW(OpExpSept[[#This Row],[ACTUAL]])</f>
        <v>1500.000031</v>
      </c>
      <c r="F31" s="26">
        <f>OpExpSept[[#This Row],[ESTIMATED]]-OpExpSept[[#This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OpExpSept[[#This Row],[ACTUAL]]+(10^-6)*ROW(OpExpSept[[#This Row],[ACTUAL]])</f>
        <v>1275.0000319999999</v>
      </c>
      <c r="F32" s="26">
        <f>OpExpSept[[#This Row],[ESTIMATED]]-OpExpSept[[#This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OpExpSept[[#This Row],[ACTUAL]]+(10^-6)*ROW(OpExpSept[[#This Row],[ACTUAL]])</f>
        <v>1200.000033</v>
      </c>
      <c r="F33" s="26">
        <f>OpExpSept[[#This Row],[ESTIMATED]]-OpExpSept[[#This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OpExpSept[[#This Row],[ACTUAL]]+(10^-6)*ROW(OpExpSept[[#This Row],[ACTUAL]])</f>
        <v>1000.000034</v>
      </c>
      <c r="F34" s="26">
        <f>OpExpSept[[#This Row],[ESTIMATED]]-OpExpSept[[#This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OpExpSept[[#This Row],[ACTUAL]]+(10^-6)*ROW(OpExpSept[[#This Row],[ACTUAL]])</f>
        <v>1000.000035</v>
      </c>
      <c r="F35" s="26">
        <f>OpExpSept[[#This Row],[ESTIMATED]]-OpExpSept[[#This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OpExpSept[[#This Row],[ACTUAL]]+(10^-6)*ROW(OpExpSept[[#This Row],[ACTUAL]])</f>
        <v>900.00003600000002</v>
      </c>
      <c r="F36" s="26">
        <f>OpExpSept[[#This Row],[ESTIMATED]]-OpExpSept[[#This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OpExpSept[[#This Row],[ACTUAL]]+(10^-6)*ROW(OpExpSept[[#This Row],[ACTUAL]])</f>
        <v>840.00003700000002</v>
      </c>
      <c r="F37" s="26">
        <f>OpExpSept[[#This Row],[ESTIMATED]]-OpExpSept[[#This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OpExpSept[[#This Row],[ACTUAL]]+(10^-6)*ROW(OpExpSept[[#This Row],[ACTUAL]])</f>
        <v>800.00003800000002</v>
      </c>
      <c r="F38" s="26">
        <f>OpExpSept[[#This Row],[ESTIMATED]]-OpExpSept[[#This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OpExpSept[[#This Row],[ACTUAL]]+(10^-6)*ROW(OpExpSept[[#This Row],[ACTUAL]])</f>
        <v>800.00003900000002</v>
      </c>
      <c r="F39" s="26">
        <f>OpExpSept[[#This Row],[ESTIMATED]]-OpExpSept[[#This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OpExpSept[[#This Row],[ACTUAL]]+(10^-6)*ROW(OpExpSept[[#This Row],[ACTUAL]])</f>
        <v>500.00004000000001</v>
      </c>
      <c r="F40" s="26">
        <f>OpExpSept[[#This Row],[ESTIMATED]]-OpExpSept[[#This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OpExpSept[[#This Row],[ACTUAL]]+(10^-6)*ROW(OpExpSept[[#This Row],[ACTUAL]])</f>
        <v>450.00004100000001</v>
      </c>
      <c r="F41" s="26">
        <f>OpExpSept[[#This Row],[ESTIMATED]]-OpExpSept[[#This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OpExpSept[[#This Row],[ACTUAL]]+(10^-6)*ROW(OpExpSept[[#This Row],[ACTUAL]])</f>
        <v>400.00004200000001</v>
      </c>
      <c r="F42" s="26">
        <f>OpExpSept[[#This Row],[ESTIMATED]]-OpExpSept[[#This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OpExpSept[[#This Row],[ACTUAL]]+(10^-6)*ROW(OpExpSept[[#This Row],[ACTUAL]])</f>
        <v>280.00004300000001</v>
      </c>
      <c r="F43" s="26">
        <f>OpExpSept[[#This Row],[ESTIMATED]]-OpExpSept[[#This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OpExpSept[[#This Row],[ACTUAL]]+(10^-6)*ROW(OpExpSept[[#This Row],[ACTUAL]])</f>
        <v>200.000044</v>
      </c>
      <c r="F44" s="26">
        <f>OpExpSept[[#This Row],[ESTIMATED]]-OpExpSept[[#This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OpExpSept[[#This Row],[ACTUAL]]+(10^-6)*ROW(OpExpSept[[#This Row],[ACTUAL]])</f>
        <v>4.4999999999999996E-5</v>
      </c>
      <c r="F45" s="26">
        <f>OpExpSept[[#This Row],[ESTIMATED]]-OpExpSept[[#This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OpExpSept[[#This Row],[ACTUAL]]+(10^-6)*ROW(OpExpSept[[#This Row],[ACTUAL]])</f>
        <v>4.6E-5</v>
      </c>
      <c r="F46" s="26">
        <f>OpExpSept[[#This Row],[ESTIMATED]]-OpExpSept[[#This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OpExpSept[[#This Row],[ACTUAL]]+(10^-6)*ROW(OpExpSept[[#This Row],[ACTUAL]])</f>
        <v>4.6999999999999997E-5</v>
      </c>
      <c r="F47" s="26">
        <f>OpExpSept[[#This Row],[ESTIMATED]]-OpExpSept[[#This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OpExpSept[[#This Row],[ACTUAL]]+(10^-6)*ROW(OpExpSept[[#This Row],[ACTUAL]])</f>
        <v>4.8000000000000001E-5</v>
      </c>
      <c r="F48" s="26">
        <f>OpExpSept[[#This Row],[ESTIMATED]]-OpExpSept[[#This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SUBTOTAL(109,OpExpSept[ESTIMATED])</f>
        <v>51400</v>
      </c>
      <c r="D49" s="18">
        <f>SUBTOTAL(109,OpExpSept[ACTUAL])</f>
        <v>53045</v>
      </c>
      <c r="E49" s="18"/>
      <c r="F49" s="27">
        <f>SUBTOTAL(109,OpExpSept[DIFFERENCE])</f>
        <v>-1645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activeCellId="1" sqref="B3 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43009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OctIncome[[#Totals],[ESTIMATED]]</f>
        <v>90000</v>
      </c>
      <c r="D5" s="28">
        <f>OctIncome[[#Totals],[ACTUAL]]</f>
        <v>97500</v>
      </c>
      <c r="E5" s="24">
        <f>TotalsTableOctober[[#This Row],[ACTUAL]]-TotalsTableOctober[[#This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OpExpOct[[#Totals],[ESTIMATED]]+PersonnelTableOct[[#Totals],[ESTIMATED]]</f>
        <v>64400</v>
      </c>
      <c r="D6" s="28">
        <f>OpExpOct[[#Totals],[ACTUAL]]+PersonnelTableOct[[#Totals],[ACTUAL]]</f>
        <v>62145</v>
      </c>
      <c r="E6" s="24">
        <f>TotalsTableOctober[[#This Row],[ESTIMATED]]-TotalsTableOctober[[#This Row],[ACTUAL]]</f>
        <v>2255</v>
      </c>
      <c r="F6" s="4"/>
    </row>
    <row r="7" spans="1:7" ht="15.75" x14ac:dyDescent="0.25">
      <c r="A7" s="4"/>
      <c r="B7" s="12" t="s">
        <v>7</v>
      </c>
      <c r="C7" s="29">
        <f>C5-C6</f>
        <v>25600</v>
      </c>
      <c r="D7" s="29">
        <f>D5-D6</f>
        <v>35355</v>
      </c>
      <c r="E7" s="29">
        <f>TotalsTableOctober[[#Totals],[ACTUAL]]-TotalsTableOctober[[#Totals],[ESTIMATED]]</f>
        <v>9755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INDEX(OpExpOct[],(MATCH(Top5ExpOctober[[#This Row],[AMOUNT]],OpExpOct[TOP 5 AMOUNT],0)),1)</f>
        <v>Pesticides/Chemicals</v>
      </c>
      <c r="C33" s="16">
        <f>LARGE(OpExpOct[TOP 5 AMOUNT],1)</f>
        <v>10000.000023000001</v>
      </c>
      <c r="D33" s="30">
        <f>Top5ExpOctober[[#This Row],[AMOUNT]]/$D$6</f>
        <v>0.16091399184166064</v>
      </c>
      <c r="E33" s="16">
        <f>Top5ExpOctober[[#This Row],[AMOUNT]]*0.15</f>
        <v>1500.0000034500001</v>
      </c>
      <c r="F33" s="4"/>
    </row>
    <row r="34" spans="1:6" ht="15.75" x14ac:dyDescent="0.25">
      <c r="A34" s="4"/>
      <c r="B34" s="6" t="str">
        <f>INDEX(OpExpOct[],(MATCH(Top5ExpOctober[[#This Row],[AMOUNT]],OpExpOct[TOP 5 AMOUNT],0)),1)</f>
        <v>Feed</v>
      </c>
      <c r="C34" s="16">
        <f>LARGE(OpExpOct[TOP 5 AMOUNT],2)</f>
        <v>7000.0000239999999</v>
      </c>
      <c r="D34" s="30">
        <f>Top5ExpOctober[[#This Row],[AMOUNT]]/$D$6</f>
        <v>0.11263979441628449</v>
      </c>
      <c r="E34" s="16">
        <f>Top5ExpOctober[[#This Row],[AMOUNT]]*0.15</f>
        <v>1050.0000035999999</v>
      </c>
      <c r="F34" s="4"/>
    </row>
    <row r="35" spans="1:6" ht="15.75" x14ac:dyDescent="0.25">
      <c r="A35" s="4"/>
      <c r="B35" s="6" t="str">
        <f>INDEX(OpExpOct[],(MATCH(Top5ExpOctober[[#This Row],[AMOUNT]],OpExpOct[TOP 5 AMOUNT],0)),1)</f>
        <v>Supplies</v>
      </c>
      <c r="C35" s="16">
        <f>LARGE(OpExpOct[TOP 5 AMOUNT],3)</f>
        <v>4500.0000259999997</v>
      </c>
      <c r="D35" s="30">
        <f>Top5ExpOctober[[#This Row],[AMOUNT]]/$D$6</f>
        <v>7.2411296580577683E-2</v>
      </c>
      <c r="E35" s="16">
        <f>Top5ExpOctober[[#This Row],[AMOUNT]]*0.15</f>
        <v>675.00000389999991</v>
      </c>
      <c r="F35" s="4"/>
    </row>
    <row r="36" spans="1:6" ht="15.75" x14ac:dyDescent="0.25">
      <c r="A36" s="4"/>
      <c r="B36" s="6" t="str">
        <f>INDEX(OpExpOct[],(MATCH(Top5ExpOctober[[#This Row],[AMOUNT]],OpExpOct[TOP 5 AMOUNT],0)),1)</f>
        <v>Rent or Mortgage</v>
      </c>
      <c r="C36" s="16">
        <f>LARGE(OpExpOct[TOP 5 AMOUNT],4)</f>
        <v>4500.0000250000003</v>
      </c>
      <c r="D36" s="30">
        <f>Top5ExpOctober[[#This Row],[AMOUNT]]/$D$6</f>
        <v>7.2411296564486291E-2</v>
      </c>
      <c r="E36" s="16">
        <f>Top5ExpOctober[[#This Row],[AMOUNT]]*0.15</f>
        <v>675.00000375000002</v>
      </c>
      <c r="F36" s="4"/>
    </row>
    <row r="37" spans="1:6" ht="15.75" x14ac:dyDescent="0.25">
      <c r="A37" s="4"/>
      <c r="B37" s="6" t="str">
        <f>INDEX(OpExpOct[],(MATCH(Top5ExpOctober[[#This Row],[AMOUNT]],OpExpOct[TOP 5 AMOUNT],0)),1)</f>
        <v>Maintenance and Repairs</v>
      </c>
      <c r="C37" s="16">
        <f>LARGE(OpExpOct[TOP 5 AMOUNT],5)</f>
        <v>4000.000027</v>
      </c>
      <c r="D37" s="30">
        <f>Top5ExpOctober[[#This Row],[AMOUNT]]/$D$6</f>
        <v>6.4365597023091164E-2</v>
      </c>
      <c r="E37" s="16">
        <f>Top5ExpOctober[[#This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SUBTOTAL(109,Top5ExpOctober[AMOUNT])</f>
        <v>30000.000125000006</v>
      </c>
      <c r="D38" s="32">
        <f>SUBTOTAL(109,Top5ExpOctober[% OF EXPENSES])</f>
        <v>0.48274197642610028</v>
      </c>
      <c r="E38" s="31">
        <f>SUBTOTAL(109,Top5ExpOctober[15% REDUCTION])</f>
        <v>4500.00001875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opLeftCell="A8" workbookViewId="0">
      <selection activeCell="B21" activeCellId="3" sqref="B3 B6:D10 B14:D17 B21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</row>
    <row r="3" spans="1:7" ht="33" x14ac:dyDescent="0.45">
      <c r="B3" s="41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OctIncome[[#This Row],[ACTUAL]]+(10^-6)*ROW(OctIncome[[#This Row],[ACTUAL]])</f>
        <v>60000.000006000002</v>
      </c>
      <c r="F6" s="22">
        <f>OctIncome[[#This Row],[ACTUAL]]-OctIncome[[#This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OctIncome[[#This Row],[ACTUAL]]+(10^-6)*ROW(OctIncome[[#This Row],[ACTUAL]])</f>
        <v>28000.000006999999</v>
      </c>
      <c r="F7" s="22">
        <f>OctIncome[[#This Row],[ACTUAL]]-OctIncome[[#This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OctIncome[[#This Row],[ACTUAL]]+(10^-6)*ROW(OctIncome[[#This Row],[ACTUAL]])</f>
        <v>3000.000008</v>
      </c>
      <c r="F8" s="22">
        <f>OctIncome[[#This Row],[ACTUAL]]-OctIncome[[#This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OctIncome[[#This Row],[ACTUAL]]+(10^-6)*ROW(OctIncome[[#This Row],[ACTUAL]])</f>
        <v>3000.0000089999999</v>
      </c>
      <c r="F9" s="22">
        <f>OctIncome[[#This Row],[ACTUAL]]-OctIncome[[#This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OctIncome[[#This Row],[ACTUAL]]+(10^-6)*ROW(OctIncome[[#This Row],[ACTUAL]])</f>
        <v>3500.0000100000002</v>
      </c>
      <c r="F10" s="22">
        <f>OctIncome[[#This Row],[ACTUAL]]-OctIncome[[#This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SUBTOTAL(109,OctIncome[ESTIMATED])</f>
        <v>90000</v>
      </c>
      <c r="D11" s="21">
        <f>SUBTOTAL(109,OctIncome[ACTUAL])</f>
        <v>97500</v>
      </c>
      <c r="E11" s="21"/>
      <c r="F11" s="23">
        <f>SUBTOTAL(109,OctIncome[DIFFERENCE])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5000</v>
      </c>
      <c r="D14" s="51">
        <v>4600</v>
      </c>
      <c r="E14" s="19">
        <f>PersonnelTableOct[[#This Row],[ACTUAL]]+(10^-6)*ROW(PersonnelTableOct[[#This Row],[ACTUAL]])</f>
        <v>4600.0000140000002</v>
      </c>
      <c r="F14" s="24">
        <f>PersonnelTableOct[[#This Row],[ESTIMATED]]-PersonnelTableOct[[#This Row],[ACTUAL]]</f>
        <v>400</v>
      </c>
      <c r="G14" s="4"/>
    </row>
    <row r="15" spans="1:7" ht="15.75" x14ac:dyDescent="0.25">
      <c r="A15" s="4"/>
      <c r="B15" s="47" t="s">
        <v>24</v>
      </c>
      <c r="C15" s="51">
        <v>2000</v>
      </c>
      <c r="D15" s="51">
        <v>0</v>
      </c>
      <c r="E15" s="19">
        <f>PersonnelTableOct[[#This Row],[ACTUAL]]+(10^-6)*ROW(PersonnelTableOct[[#This Row],[ACTUAL]])</f>
        <v>1.4999999999999999E-5</v>
      </c>
      <c r="F15" s="24">
        <f>PersonnelTableOct[[#This Row],[ESTIMATED]]-PersonnelTableOct[[#This Row],[ACTUAL]]</f>
        <v>2000</v>
      </c>
      <c r="G15" s="4"/>
    </row>
    <row r="16" spans="1:7" ht="15.75" x14ac:dyDescent="0.25">
      <c r="A16" s="4"/>
      <c r="B16" s="47" t="s">
        <v>25</v>
      </c>
      <c r="C16" s="51">
        <v>4000</v>
      </c>
      <c r="D16" s="51">
        <v>3000</v>
      </c>
      <c r="E16" s="19">
        <f>PersonnelTableOct[[#This Row],[ACTUAL]]+(10^-6)*ROW(PersonnelTableOct[[#This Row],[ACTUAL]])</f>
        <v>3000.000016</v>
      </c>
      <c r="F16" s="24">
        <f>PersonnelTableOct[[#This Row],[ESTIMATED]]-PersonnelTableOct[[#This Row],[ACTUAL]]</f>
        <v>1000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PersonnelTableOct[[#This Row],[ACTUAL]]+(10^-6)*ROW(PersonnelTableOct[[#This Row],[ACTUAL]])</f>
        <v>1500.0000170000001</v>
      </c>
      <c r="F17" s="24">
        <f>PersonnelTableOct[[#This Row],[ESTIMATED]]-PersonnelTableOct[[#This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SUBTOTAL(109,PersonnelTableOct[ESTIMATED])</f>
        <v>13000</v>
      </c>
      <c r="D18" s="20">
        <f>SUBTOTAL(109,PersonnelTableOct[ACTUAL])</f>
        <v>9100</v>
      </c>
      <c r="E18" s="20"/>
      <c r="F18" s="25">
        <f>SUBTOTAL(109,PersonnelTableOct[DIFFERENCE])</f>
        <v>3900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4000</v>
      </c>
      <c r="D21" s="52">
        <v>2000</v>
      </c>
      <c r="E21" s="16">
        <f>OpExpOct[[#This Row],[ACTUAL]]+(10^-6)*ROW(OpExpOct[[#This Row],[ACTUAL]])</f>
        <v>2000.0000210000001</v>
      </c>
      <c r="F21" s="26">
        <f>OpExpOct[[#This Row],[ESTIMATED]]-OpExpOct[[#This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</v>
      </c>
      <c r="D22" s="52">
        <v>1000</v>
      </c>
      <c r="E22" s="16">
        <f>OpExpOct[[#This Row],[ACTUAL]]+(10^-6)*ROW(OpExpOct[[#This Row],[ACTUAL]])</f>
        <v>1000.0000219999999</v>
      </c>
      <c r="F22" s="26">
        <f>OpExpOct[[#This Row],[ESTIMATED]]-OpExpOct[[#This Row],[ACTUAL]]</f>
        <v>0</v>
      </c>
      <c r="G22" s="4"/>
    </row>
    <row r="23" spans="1:7" ht="15.75" x14ac:dyDescent="0.25">
      <c r="A23" s="4"/>
      <c r="B23" s="50" t="s">
        <v>48</v>
      </c>
      <c r="C23" s="52">
        <v>8000</v>
      </c>
      <c r="D23" s="52">
        <v>10000</v>
      </c>
      <c r="E23" s="16">
        <f>OpExpOct[[#This Row],[ACTUAL]]+(10^-6)*ROW(OpExpOct[[#This Row],[ACTUAL]])</f>
        <v>10000.000023000001</v>
      </c>
      <c r="F23" s="26">
        <f>OpExpOct[[#This Row],[ESTIMATED]]-OpExpOct[[#This Row],[ACTUAL]]</f>
        <v>-2000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7000</v>
      </c>
      <c r="E24" s="16">
        <f>OpExpOct[[#This Row],[ACTUAL]]+(10^-6)*ROW(OpExpOct[[#This Row],[ACTUAL]])</f>
        <v>7000.0000239999999</v>
      </c>
      <c r="F24" s="26">
        <f>OpExpOct[[#This Row],[ESTIMATED]]-OpExpOct[[#This Row],[ACTUAL]]</f>
        <v>-2000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OpExpOct[[#This Row],[ACTUAL]]+(10^-6)*ROW(OpExpOct[[#This Row],[ACTUAL]])</f>
        <v>4500.0000250000003</v>
      </c>
      <c r="F25" s="26">
        <f>OpExpOct[[#This Row],[ESTIMATED]]-OpExpOct[[#This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OpExpOct[[#This Row],[ACTUAL]]+(10^-6)*ROW(OpExpOct[[#This Row],[ACTUAL]])</f>
        <v>4500.0000259999997</v>
      </c>
      <c r="F26" s="26">
        <f>OpExpOct[[#This Row],[ESTIMATED]]-OpExpOct[[#This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OpExpOct[[#This Row],[ACTUAL]]+(10^-6)*ROW(OpExpOct[[#This Row],[ACTUAL]])</f>
        <v>4000.000027</v>
      </c>
      <c r="F27" s="26">
        <f>OpExpOct[[#This Row],[ESTIMATED]]-OpExpOct[[#This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OpExpOct[[#This Row],[ACTUAL]]+(10^-6)*ROW(OpExpOct[[#This Row],[ACTUAL]])</f>
        <v>3500.0000279999999</v>
      </c>
      <c r="F28" s="26">
        <f>OpExpOct[[#This Row],[ESTIMATED]]-OpExpOct[[#This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OpExpOct[[#This Row],[ACTUAL]]+(10^-6)*ROW(OpExpOct[[#This Row],[ACTUAL]])</f>
        <v>3200.0000289999998</v>
      </c>
      <c r="F29" s="26">
        <f>OpExpOct[[#This Row],[ESTIMATED]]-OpExpOct[[#This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OpExpOct[[#This Row],[ACTUAL]]+(10^-6)*ROW(OpExpOct[[#This Row],[ACTUAL]])</f>
        <v>2200.0000300000002</v>
      </c>
      <c r="F30" s="26">
        <f>OpExpOct[[#This Row],[ESTIMATED]]-OpExpOct[[#This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OpExpOct[[#This Row],[ACTUAL]]+(10^-6)*ROW(OpExpOct[[#This Row],[ACTUAL]])</f>
        <v>1500.000031</v>
      </c>
      <c r="F31" s="26">
        <f>OpExpOct[[#This Row],[ESTIMATED]]-OpExpOct[[#This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OpExpOct[[#This Row],[ACTUAL]]+(10^-6)*ROW(OpExpOct[[#This Row],[ACTUAL]])</f>
        <v>1275.0000319999999</v>
      </c>
      <c r="F32" s="26">
        <f>OpExpOct[[#This Row],[ESTIMATED]]-OpExpOct[[#This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OpExpOct[[#This Row],[ACTUAL]]+(10^-6)*ROW(OpExpOct[[#This Row],[ACTUAL]])</f>
        <v>1200.000033</v>
      </c>
      <c r="F33" s="26">
        <f>OpExpOct[[#This Row],[ESTIMATED]]-OpExpOct[[#This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OpExpOct[[#This Row],[ACTUAL]]+(10^-6)*ROW(OpExpOct[[#This Row],[ACTUAL]])</f>
        <v>1000.000034</v>
      </c>
      <c r="F34" s="26">
        <f>OpExpOct[[#This Row],[ESTIMATED]]-OpExpOct[[#This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OpExpOct[[#This Row],[ACTUAL]]+(10^-6)*ROW(OpExpOct[[#This Row],[ACTUAL]])</f>
        <v>1000.000035</v>
      </c>
      <c r="F35" s="26">
        <f>OpExpOct[[#This Row],[ESTIMATED]]-OpExpOct[[#This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OpExpOct[[#This Row],[ACTUAL]]+(10^-6)*ROW(OpExpOct[[#This Row],[ACTUAL]])</f>
        <v>900.00003600000002</v>
      </c>
      <c r="F36" s="26">
        <f>OpExpOct[[#This Row],[ESTIMATED]]-OpExpOct[[#This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OpExpOct[[#This Row],[ACTUAL]]+(10^-6)*ROW(OpExpOct[[#This Row],[ACTUAL]])</f>
        <v>840.00003700000002</v>
      </c>
      <c r="F37" s="26">
        <f>OpExpOct[[#This Row],[ESTIMATED]]-OpExpOct[[#This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OpExpOct[[#This Row],[ACTUAL]]+(10^-6)*ROW(OpExpOct[[#This Row],[ACTUAL]])</f>
        <v>800.00003800000002</v>
      </c>
      <c r="F38" s="26">
        <f>OpExpOct[[#This Row],[ESTIMATED]]-OpExpOct[[#This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OpExpOct[[#This Row],[ACTUAL]]+(10^-6)*ROW(OpExpOct[[#This Row],[ACTUAL]])</f>
        <v>800.00003900000002</v>
      </c>
      <c r="F39" s="26">
        <f>OpExpOct[[#This Row],[ESTIMATED]]-OpExpOct[[#This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OpExpOct[[#This Row],[ACTUAL]]+(10^-6)*ROW(OpExpOct[[#This Row],[ACTUAL]])</f>
        <v>500.00004000000001</v>
      </c>
      <c r="F40" s="26">
        <f>OpExpOct[[#This Row],[ESTIMATED]]-OpExpOct[[#This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OpExpOct[[#This Row],[ACTUAL]]+(10^-6)*ROW(OpExpOct[[#This Row],[ACTUAL]])</f>
        <v>450.00004100000001</v>
      </c>
      <c r="F41" s="26">
        <f>OpExpOct[[#This Row],[ESTIMATED]]-OpExpOct[[#This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OpExpOct[[#This Row],[ACTUAL]]+(10^-6)*ROW(OpExpOct[[#This Row],[ACTUAL]])</f>
        <v>400.00004200000001</v>
      </c>
      <c r="F42" s="26">
        <f>OpExpOct[[#This Row],[ESTIMATED]]-OpExpOct[[#This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OpExpOct[[#This Row],[ACTUAL]]+(10^-6)*ROW(OpExpOct[[#This Row],[ACTUAL]])</f>
        <v>280.00004300000001</v>
      </c>
      <c r="F43" s="26">
        <f>OpExpOct[[#This Row],[ESTIMATED]]-OpExpOct[[#This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OpExpOct[[#This Row],[ACTUAL]]+(10^-6)*ROW(OpExpOct[[#This Row],[ACTUAL]])</f>
        <v>200.000044</v>
      </c>
      <c r="F44" s="26">
        <f>OpExpOct[[#This Row],[ESTIMATED]]-OpExpOct[[#This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OpExpOct[[#This Row],[ACTUAL]]+(10^-6)*ROW(OpExpOct[[#This Row],[ACTUAL]])</f>
        <v>4.4999999999999996E-5</v>
      </c>
      <c r="F45" s="26">
        <f>OpExpOct[[#This Row],[ESTIMATED]]-OpExpOct[[#This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OpExpOct[[#This Row],[ACTUAL]]+(10^-6)*ROW(OpExpOct[[#This Row],[ACTUAL]])</f>
        <v>4.6E-5</v>
      </c>
      <c r="F46" s="26">
        <f>OpExpOct[[#This Row],[ESTIMATED]]-OpExpOct[[#This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OpExpOct[[#This Row],[ACTUAL]]+(10^-6)*ROW(OpExpOct[[#This Row],[ACTUAL]])</f>
        <v>4.6999999999999997E-5</v>
      </c>
      <c r="F47" s="26">
        <f>OpExpOct[[#This Row],[ESTIMATED]]-OpExpOct[[#This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OpExpOct[[#This Row],[ACTUAL]]+(10^-6)*ROW(OpExpOct[[#This Row],[ACTUAL]])</f>
        <v>4.8000000000000001E-5</v>
      </c>
      <c r="F48" s="26">
        <f>OpExpOct[[#This Row],[ESTIMATED]]-OpExpOct[[#This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SUBTOTAL(109,OpExpOct[ESTIMATED])</f>
        <v>51400</v>
      </c>
      <c r="D49" s="18">
        <f>SUBTOTAL(109,OpExpOct[ACTUAL])</f>
        <v>53045</v>
      </c>
      <c r="E49" s="18"/>
      <c r="F49" s="27">
        <f>SUBTOTAL(109,OpExpOct[DIFFERENCE])</f>
        <v>-1645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activeCellId="1" sqref="B3 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43040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NovIncome[[#Totals],[ESTIMATED]]</f>
        <v>90000</v>
      </c>
      <c r="D5" s="28">
        <f>NovIncome[[#Totals],[ACTUAL]]</f>
        <v>97500</v>
      </c>
      <c r="E5" s="24">
        <f>TotalsTableNovember[[#This Row],[ACTUAL]]-TotalsTableNovember[[#This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OpExpNov[[#Totals],[ESTIMATED]]+PersonnelTableNov[[#Totals],[ESTIMATED]]</f>
        <v>64400</v>
      </c>
      <c r="D6" s="28">
        <f>OpExpNov[[#Totals],[ACTUAL]]+PersonnelTableNov[[#Totals],[ACTUAL]]</f>
        <v>62145</v>
      </c>
      <c r="E6" s="24">
        <f>TotalsTableNovember[[#This Row],[ESTIMATED]]-TotalsTableNovember[[#This Row],[ACTUAL]]</f>
        <v>2255</v>
      </c>
      <c r="F6" s="4"/>
    </row>
    <row r="7" spans="1:7" ht="15.75" x14ac:dyDescent="0.25">
      <c r="A7" s="4"/>
      <c r="B7" s="12" t="s">
        <v>7</v>
      </c>
      <c r="C7" s="29">
        <f>C5-C6</f>
        <v>25600</v>
      </c>
      <c r="D7" s="29">
        <f>D5-D6</f>
        <v>35355</v>
      </c>
      <c r="E7" s="29">
        <f>TotalsTableNovember[[#Totals],[ACTUAL]]-TotalsTableNovember[[#Totals],[ESTIMATED]]</f>
        <v>9755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INDEX(OpExpNov[],(MATCH(Top5ExpNovember[[#This Row],[AMOUNT]],OpExpNov[TOP 5 AMOUNT],0)),1)</f>
        <v>Pesticides/Chemicals</v>
      </c>
      <c r="C33" s="16">
        <f>LARGE(OpExpNov[TOP 5 AMOUNT],1)</f>
        <v>10000.000023000001</v>
      </c>
      <c r="D33" s="30">
        <f>Top5ExpNovember[[#This Row],[AMOUNT]]/$D$6</f>
        <v>0.16091399184166064</v>
      </c>
      <c r="E33" s="16">
        <f>Top5ExpNovember[[#This Row],[AMOUNT]]*0.15</f>
        <v>1500.0000034500001</v>
      </c>
      <c r="F33" s="4"/>
    </row>
    <row r="34" spans="1:6" ht="15.75" x14ac:dyDescent="0.25">
      <c r="A34" s="4"/>
      <c r="B34" s="6" t="str">
        <f>INDEX(OpExpNov[],(MATCH(Top5ExpNovember[[#This Row],[AMOUNT]],OpExpNov[TOP 5 AMOUNT],0)),1)</f>
        <v>Feed</v>
      </c>
      <c r="C34" s="16">
        <f>LARGE(OpExpNov[TOP 5 AMOUNT],2)</f>
        <v>7000.0000239999999</v>
      </c>
      <c r="D34" s="30">
        <f>Top5ExpNovember[[#This Row],[AMOUNT]]/$D$6</f>
        <v>0.11263979441628449</v>
      </c>
      <c r="E34" s="16">
        <f>Top5ExpNovember[[#This Row],[AMOUNT]]*0.15</f>
        <v>1050.0000035999999</v>
      </c>
      <c r="F34" s="4"/>
    </row>
    <row r="35" spans="1:6" ht="15.75" x14ac:dyDescent="0.25">
      <c r="A35" s="4"/>
      <c r="B35" s="6" t="str">
        <f>INDEX(OpExpNov[],(MATCH(Top5ExpNovember[[#This Row],[AMOUNT]],OpExpNov[TOP 5 AMOUNT],0)),1)</f>
        <v>Supplies</v>
      </c>
      <c r="C35" s="16">
        <f>LARGE(OpExpNov[TOP 5 AMOUNT],3)</f>
        <v>4500.0000259999997</v>
      </c>
      <c r="D35" s="30">
        <f>Top5ExpNovember[[#This Row],[AMOUNT]]/$D$6</f>
        <v>7.2411296580577683E-2</v>
      </c>
      <c r="E35" s="16">
        <f>Top5ExpNovember[[#This Row],[AMOUNT]]*0.15</f>
        <v>675.00000389999991</v>
      </c>
      <c r="F35" s="4"/>
    </row>
    <row r="36" spans="1:6" ht="15.75" x14ac:dyDescent="0.25">
      <c r="A36" s="4"/>
      <c r="B36" s="6" t="str">
        <f>INDEX(OpExpNov[],(MATCH(Top5ExpNovember[[#This Row],[AMOUNT]],OpExpNov[TOP 5 AMOUNT],0)),1)</f>
        <v>Rent or Mortgage</v>
      </c>
      <c r="C36" s="16">
        <f>LARGE(OpExpNov[TOP 5 AMOUNT],4)</f>
        <v>4500.0000250000003</v>
      </c>
      <c r="D36" s="30">
        <f>Top5ExpNovember[[#This Row],[AMOUNT]]/$D$6</f>
        <v>7.2411296564486291E-2</v>
      </c>
      <c r="E36" s="16">
        <f>Top5ExpNovember[[#This Row],[AMOUNT]]*0.15</f>
        <v>675.00000375000002</v>
      </c>
      <c r="F36" s="4"/>
    </row>
    <row r="37" spans="1:6" ht="15.75" x14ac:dyDescent="0.25">
      <c r="A37" s="4"/>
      <c r="B37" s="6" t="str">
        <f>INDEX(OpExpNov[],(MATCH(Top5ExpNovember[[#This Row],[AMOUNT]],OpExpNov[TOP 5 AMOUNT],0)),1)</f>
        <v>Maintenance and Repairs</v>
      </c>
      <c r="C37" s="16">
        <f>LARGE(OpExpNov[TOP 5 AMOUNT],5)</f>
        <v>4000.000027</v>
      </c>
      <c r="D37" s="30">
        <f>Top5ExpNovember[[#This Row],[AMOUNT]]/$D$6</f>
        <v>6.4365597023091164E-2</v>
      </c>
      <c r="E37" s="16">
        <f>Top5ExpNovember[[#This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SUBTOTAL(109,Top5ExpNovember[AMOUNT])</f>
        <v>30000.000125000006</v>
      </c>
      <c r="D38" s="32">
        <f>SUBTOTAL(109,Top5ExpNovember[% OF EXPENSES])</f>
        <v>0.48274197642610028</v>
      </c>
      <c r="E38" s="31">
        <f>SUBTOTAL(109,Top5ExpNovember[15% REDUCTION])</f>
        <v>4500.00001875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opLeftCell="A8" workbookViewId="0">
      <selection activeCell="B21" activeCellId="3" sqref="B6:D10 B3 B14:D17 B21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</row>
    <row r="3" spans="1:7" ht="33" x14ac:dyDescent="0.45">
      <c r="B3" s="41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NovIncome[[#This Row],[ACTUAL]]+(10^-6)*ROW(NovIncome[[#This Row],[ACTUAL]])</f>
        <v>60000.000006000002</v>
      </c>
      <c r="F6" s="22">
        <f>NovIncome[[#This Row],[ACTUAL]]-NovIncome[[#This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NovIncome[[#This Row],[ACTUAL]]+(10^-6)*ROW(NovIncome[[#This Row],[ACTUAL]])</f>
        <v>28000.000006999999</v>
      </c>
      <c r="F7" s="22">
        <f>NovIncome[[#This Row],[ACTUAL]]-NovIncome[[#This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NovIncome[[#This Row],[ACTUAL]]+(10^-6)*ROW(NovIncome[[#This Row],[ACTUAL]])</f>
        <v>3000.000008</v>
      </c>
      <c r="F8" s="22">
        <f>NovIncome[[#This Row],[ACTUAL]]-NovIncome[[#This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NovIncome[[#This Row],[ACTUAL]]+(10^-6)*ROW(NovIncome[[#This Row],[ACTUAL]])</f>
        <v>3000.0000089999999</v>
      </c>
      <c r="F9" s="22">
        <f>NovIncome[[#This Row],[ACTUAL]]-NovIncome[[#This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NovIncome[[#This Row],[ACTUAL]]+(10^-6)*ROW(NovIncome[[#This Row],[ACTUAL]])</f>
        <v>3500.0000100000002</v>
      </c>
      <c r="F10" s="22">
        <f>NovIncome[[#This Row],[ACTUAL]]-NovIncome[[#This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SUBTOTAL(109,NovIncome[ESTIMATED])</f>
        <v>90000</v>
      </c>
      <c r="D11" s="21">
        <f>SUBTOTAL(109,NovIncome[ACTUAL])</f>
        <v>97500</v>
      </c>
      <c r="E11" s="21"/>
      <c r="F11" s="23">
        <f>SUBTOTAL(109,NovIncome[DIFFERENCE])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5000</v>
      </c>
      <c r="D14" s="51">
        <v>4600</v>
      </c>
      <c r="E14" s="19">
        <f>PersonnelTableNov[[#This Row],[ACTUAL]]+(10^-6)*ROW(PersonnelTableNov[[#This Row],[ACTUAL]])</f>
        <v>4600.0000140000002</v>
      </c>
      <c r="F14" s="24">
        <f>PersonnelTableNov[[#This Row],[ESTIMATED]]-PersonnelTableNov[[#This Row],[ACTUAL]]</f>
        <v>400</v>
      </c>
      <c r="G14" s="4"/>
    </row>
    <row r="15" spans="1:7" ht="15.75" x14ac:dyDescent="0.25">
      <c r="A15" s="4"/>
      <c r="B15" s="47" t="s">
        <v>24</v>
      </c>
      <c r="C15" s="51">
        <v>2000</v>
      </c>
      <c r="D15" s="51">
        <v>0</v>
      </c>
      <c r="E15" s="19">
        <f>PersonnelTableNov[[#This Row],[ACTUAL]]+(10^-6)*ROW(PersonnelTableNov[[#This Row],[ACTUAL]])</f>
        <v>1.4999999999999999E-5</v>
      </c>
      <c r="F15" s="24">
        <f>PersonnelTableNov[[#This Row],[ESTIMATED]]-PersonnelTableNov[[#This Row],[ACTUAL]]</f>
        <v>2000</v>
      </c>
      <c r="G15" s="4"/>
    </row>
    <row r="16" spans="1:7" ht="15.75" x14ac:dyDescent="0.25">
      <c r="A16" s="4"/>
      <c r="B16" s="47" t="s">
        <v>25</v>
      </c>
      <c r="C16" s="51">
        <v>4000</v>
      </c>
      <c r="D16" s="51">
        <v>3000</v>
      </c>
      <c r="E16" s="19">
        <f>PersonnelTableNov[[#This Row],[ACTUAL]]+(10^-6)*ROW(PersonnelTableNov[[#This Row],[ACTUAL]])</f>
        <v>3000.000016</v>
      </c>
      <c r="F16" s="24">
        <f>PersonnelTableNov[[#This Row],[ESTIMATED]]-PersonnelTableNov[[#This Row],[ACTUAL]]</f>
        <v>1000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PersonnelTableNov[[#This Row],[ACTUAL]]+(10^-6)*ROW(PersonnelTableNov[[#This Row],[ACTUAL]])</f>
        <v>1500.0000170000001</v>
      </c>
      <c r="F17" s="24">
        <f>PersonnelTableNov[[#This Row],[ESTIMATED]]-PersonnelTableNov[[#This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SUBTOTAL(109,PersonnelTableNov[ESTIMATED])</f>
        <v>13000</v>
      </c>
      <c r="D18" s="20">
        <f>SUBTOTAL(109,PersonnelTableNov[ACTUAL])</f>
        <v>9100</v>
      </c>
      <c r="E18" s="20"/>
      <c r="F18" s="25">
        <f>SUBTOTAL(109,PersonnelTableNov[DIFFERENCE])</f>
        <v>3900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4000</v>
      </c>
      <c r="D21" s="52">
        <v>2000</v>
      </c>
      <c r="E21" s="16">
        <f>OpExpNov[[#This Row],[ACTUAL]]+(10^-6)*ROW(OpExpNov[[#This Row],[ACTUAL]])</f>
        <v>2000.0000210000001</v>
      </c>
      <c r="F21" s="26">
        <f>OpExpNov[[#This Row],[ESTIMATED]]-OpExpNov[[#This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</v>
      </c>
      <c r="D22" s="52">
        <v>1000</v>
      </c>
      <c r="E22" s="16">
        <f>OpExpNov[[#This Row],[ACTUAL]]+(10^-6)*ROW(OpExpNov[[#This Row],[ACTUAL]])</f>
        <v>1000.0000219999999</v>
      </c>
      <c r="F22" s="26">
        <f>OpExpNov[[#This Row],[ESTIMATED]]-OpExpNov[[#This Row],[ACTUAL]]</f>
        <v>0</v>
      </c>
      <c r="G22" s="4"/>
    </row>
    <row r="23" spans="1:7" ht="15.75" x14ac:dyDescent="0.25">
      <c r="A23" s="4"/>
      <c r="B23" s="50" t="s">
        <v>48</v>
      </c>
      <c r="C23" s="52">
        <v>8000</v>
      </c>
      <c r="D23" s="52">
        <v>10000</v>
      </c>
      <c r="E23" s="16">
        <f>OpExpNov[[#This Row],[ACTUAL]]+(10^-6)*ROW(OpExpNov[[#This Row],[ACTUAL]])</f>
        <v>10000.000023000001</v>
      </c>
      <c r="F23" s="26">
        <f>OpExpNov[[#This Row],[ESTIMATED]]-OpExpNov[[#This Row],[ACTUAL]]</f>
        <v>-2000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7000</v>
      </c>
      <c r="E24" s="16">
        <f>OpExpNov[[#This Row],[ACTUAL]]+(10^-6)*ROW(OpExpNov[[#This Row],[ACTUAL]])</f>
        <v>7000.0000239999999</v>
      </c>
      <c r="F24" s="26">
        <f>OpExpNov[[#This Row],[ESTIMATED]]-OpExpNov[[#This Row],[ACTUAL]]</f>
        <v>-2000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OpExpNov[[#This Row],[ACTUAL]]+(10^-6)*ROW(OpExpNov[[#This Row],[ACTUAL]])</f>
        <v>4500.0000250000003</v>
      </c>
      <c r="F25" s="26">
        <f>OpExpNov[[#This Row],[ESTIMATED]]-OpExpNov[[#This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OpExpNov[[#This Row],[ACTUAL]]+(10^-6)*ROW(OpExpNov[[#This Row],[ACTUAL]])</f>
        <v>4500.0000259999997</v>
      </c>
      <c r="F26" s="26">
        <f>OpExpNov[[#This Row],[ESTIMATED]]-OpExpNov[[#This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OpExpNov[[#This Row],[ACTUAL]]+(10^-6)*ROW(OpExpNov[[#This Row],[ACTUAL]])</f>
        <v>4000.000027</v>
      </c>
      <c r="F27" s="26">
        <f>OpExpNov[[#This Row],[ESTIMATED]]-OpExpNov[[#This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OpExpNov[[#This Row],[ACTUAL]]+(10^-6)*ROW(OpExpNov[[#This Row],[ACTUAL]])</f>
        <v>3500.0000279999999</v>
      </c>
      <c r="F28" s="26">
        <f>OpExpNov[[#This Row],[ESTIMATED]]-OpExpNov[[#This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OpExpNov[[#This Row],[ACTUAL]]+(10^-6)*ROW(OpExpNov[[#This Row],[ACTUAL]])</f>
        <v>3200.0000289999998</v>
      </c>
      <c r="F29" s="26">
        <f>OpExpNov[[#This Row],[ESTIMATED]]-OpExpNov[[#This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OpExpNov[[#This Row],[ACTUAL]]+(10^-6)*ROW(OpExpNov[[#This Row],[ACTUAL]])</f>
        <v>2200.0000300000002</v>
      </c>
      <c r="F30" s="26">
        <f>OpExpNov[[#This Row],[ESTIMATED]]-OpExpNov[[#This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OpExpNov[[#This Row],[ACTUAL]]+(10^-6)*ROW(OpExpNov[[#This Row],[ACTUAL]])</f>
        <v>1500.000031</v>
      </c>
      <c r="F31" s="26">
        <f>OpExpNov[[#This Row],[ESTIMATED]]-OpExpNov[[#This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OpExpNov[[#This Row],[ACTUAL]]+(10^-6)*ROW(OpExpNov[[#This Row],[ACTUAL]])</f>
        <v>1275.0000319999999</v>
      </c>
      <c r="F32" s="26">
        <f>OpExpNov[[#This Row],[ESTIMATED]]-OpExpNov[[#This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OpExpNov[[#This Row],[ACTUAL]]+(10^-6)*ROW(OpExpNov[[#This Row],[ACTUAL]])</f>
        <v>1200.000033</v>
      </c>
      <c r="F33" s="26">
        <f>OpExpNov[[#This Row],[ESTIMATED]]-OpExpNov[[#This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OpExpNov[[#This Row],[ACTUAL]]+(10^-6)*ROW(OpExpNov[[#This Row],[ACTUAL]])</f>
        <v>1000.000034</v>
      </c>
      <c r="F34" s="26">
        <f>OpExpNov[[#This Row],[ESTIMATED]]-OpExpNov[[#This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OpExpNov[[#This Row],[ACTUAL]]+(10^-6)*ROW(OpExpNov[[#This Row],[ACTUAL]])</f>
        <v>1000.000035</v>
      </c>
      <c r="F35" s="26">
        <f>OpExpNov[[#This Row],[ESTIMATED]]-OpExpNov[[#This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OpExpNov[[#This Row],[ACTUAL]]+(10^-6)*ROW(OpExpNov[[#This Row],[ACTUAL]])</f>
        <v>900.00003600000002</v>
      </c>
      <c r="F36" s="26">
        <f>OpExpNov[[#This Row],[ESTIMATED]]-OpExpNov[[#This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OpExpNov[[#This Row],[ACTUAL]]+(10^-6)*ROW(OpExpNov[[#This Row],[ACTUAL]])</f>
        <v>840.00003700000002</v>
      </c>
      <c r="F37" s="26">
        <f>OpExpNov[[#This Row],[ESTIMATED]]-OpExpNov[[#This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OpExpNov[[#This Row],[ACTUAL]]+(10^-6)*ROW(OpExpNov[[#This Row],[ACTUAL]])</f>
        <v>800.00003800000002</v>
      </c>
      <c r="F38" s="26">
        <f>OpExpNov[[#This Row],[ESTIMATED]]-OpExpNov[[#This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OpExpNov[[#This Row],[ACTUAL]]+(10^-6)*ROW(OpExpNov[[#This Row],[ACTUAL]])</f>
        <v>800.00003900000002</v>
      </c>
      <c r="F39" s="26">
        <f>OpExpNov[[#This Row],[ESTIMATED]]-OpExpNov[[#This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OpExpNov[[#This Row],[ACTUAL]]+(10^-6)*ROW(OpExpNov[[#This Row],[ACTUAL]])</f>
        <v>500.00004000000001</v>
      </c>
      <c r="F40" s="26">
        <f>OpExpNov[[#This Row],[ESTIMATED]]-OpExpNov[[#This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OpExpNov[[#This Row],[ACTUAL]]+(10^-6)*ROW(OpExpNov[[#This Row],[ACTUAL]])</f>
        <v>450.00004100000001</v>
      </c>
      <c r="F41" s="26">
        <f>OpExpNov[[#This Row],[ESTIMATED]]-OpExpNov[[#This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OpExpNov[[#This Row],[ACTUAL]]+(10^-6)*ROW(OpExpNov[[#This Row],[ACTUAL]])</f>
        <v>400.00004200000001</v>
      </c>
      <c r="F42" s="26">
        <f>OpExpNov[[#This Row],[ESTIMATED]]-OpExpNov[[#This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OpExpNov[[#This Row],[ACTUAL]]+(10^-6)*ROW(OpExpNov[[#This Row],[ACTUAL]])</f>
        <v>280.00004300000001</v>
      </c>
      <c r="F43" s="26">
        <f>OpExpNov[[#This Row],[ESTIMATED]]-OpExpNov[[#This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OpExpNov[[#This Row],[ACTUAL]]+(10^-6)*ROW(OpExpNov[[#This Row],[ACTUAL]])</f>
        <v>200.000044</v>
      </c>
      <c r="F44" s="26">
        <f>OpExpNov[[#This Row],[ESTIMATED]]-OpExpNov[[#This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OpExpNov[[#This Row],[ACTUAL]]+(10^-6)*ROW(OpExpNov[[#This Row],[ACTUAL]])</f>
        <v>4.4999999999999996E-5</v>
      </c>
      <c r="F45" s="26">
        <f>OpExpNov[[#This Row],[ESTIMATED]]-OpExpNov[[#This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OpExpNov[[#This Row],[ACTUAL]]+(10^-6)*ROW(OpExpNov[[#This Row],[ACTUAL]])</f>
        <v>4.6E-5</v>
      </c>
      <c r="F46" s="26">
        <f>OpExpNov[[#This Row],[ESTIMATED]]-OpExpNov[[#This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OpExpNov[[#This Row],[ACTUAL]]+(10^-6)*ROW(OpExpNov[[#This Row],[ACTUAL]])</f>
        <v>4.6999999999999997E-5</v>
      </c>
      <c r="F47" s="26">
        <f>OpExpNov[[#This Row],[ESTIMATED]]-OpExpNov[[#This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OpExpNov[[#This Row],[ACTUAL]]+(10^-6)*ROW(OpExpNov[[#This Row],[ACTUAL]])</f>
        <v>4.8000000000000001E-5</v>
      </c>
      <c r="F48" s="26">
        <f>OpExpNov[[#This Row],[ESTIMATED]]-OpExpNov[[#This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SUBTOTAL(109,OpExpNov[ESTIMATED])</f>
        <v>51400</v>
      </c>
      <c r="D49" s="18">
        <f>SUBTOTAL(109,OpExpNov[ACTUAL])</f>
        <v>53045</v>
      </c>
      <c r="E49" s="18"/>
      <c r="F49" s="27">
        <f>SUBTOTAL(109,OpExpNov[DIFFERENCE])</f>
        <v>-1645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7"/>
  <sheetViews>
    <sheetView workbookViewId="0">
      <selection activeCell="E3" activeCellId="1" sqref="B3 E3:F3"/>
    </sheetView>
  </sheetViews>
  <sheetFormatPr defaultRowHeight="15" x14ac:dyDescent="0.25"/>
  <cols>
    <col min="2" max="2" width="39.5703125" customWidth="1"/>
    <col min="3" max="3" width="18.7109375" customWidth="1"/>
    <col min="4" max="4" width="20" customWidth="1"/>
    <col min="5" max="5" width="21.85546875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  <c r="E2" s="1"/>
      <c r="F2" s="1"/>
      <c r="G2" s="1"/>
    </row>
    <row r="3" spans="1:7" ht="33" x14ac:dyDescent="0.45">
      <c r="B3" s="41" t="s">
        <v>0</v>
      </c>
      <c r="C3" s="2"/>
      <c r="D3" s="2"/>
      <c r="E3" s="53">
        <v>43040</v>
      </c>
      <c r="F3" s="53"/>
      <c r="G3" s="2"/>
    </row>
    <row r="4" spans="1:7" ht="15.75" x14ac:dyDescent="0.25">
      <c r="A4" s="4"/>
      <c r="B4" s="8" t="s">
        <v>1</v>
      </c>
      <c r="C4" s="9" t="s">
        <v>2</v>
      </c>
      <c r="D4" s="9" t="s">
        <v>3</v>
      </c>
      <c r="E4" s="10" t="s">
        <v>4</v>
      </c>
      <c r="F4" s="4"/>
    </row>
    <row r="5" spans="1:7" ht="15.75" x14ac:dyDescent="0.25">
      <c r="A5" s="4"/>
      <c r="B5" s="11" t="s">
        <v>5</v>
      </c>
      <c r="C5" s="28">
        <f>DecIncome[[#Totals],[ESTIMATED]]</f>
        <v>90000</v>
      </c>
      <c r="D5" s="28">
        <f>DecIncome[[#Totals],[ACTUAL]]</f>
        <v>97500</v>
      </c>
      <c r="E5" s="24">
        <f>TotalsTableDecember[[#This Row],[ACTUAL]]-TotalsTableDecember[[#This Row],[ESTIMATED]]</f>
        <v>7500</v>
      </c>
      <c r="F5" s="4"/>
    </row>
    <row r="6" spans="1:7" ht="15.75" x14ac:dyDescent="0.25">
      <c r="A6" s="4"/>
      <c r="B6" s="11" t="s">
        <v>6</v>
      </c>
      <c r="C6" s="28">
        <f>OpExpDec[[#Totals],[ESTIMATED]]+PersonnelTableDec[[#Totals],[ESTIMATED]]</f>
        <v>64400</v>
      </c>
      <c r="D6" s="28">
        <f>OpExpDec[[#Totals],[ACTUAL]]+PersonnelTableDec[[#Totals],[ACTUAL]]</f>
        <v>62145</v>
      </c>
      <c r="E6" s="24">
        <f>TotalsTableDecember[[#This Row],[ESTIMATED]]-TotalsTableDecember[[#This Row],[ACTUAL]]</f>
        <v>2255</v>
      </c>
      <c r="F6" s="4"/>
    </row>
    <row r="7" spans="1:7" ht="15.75" x14ac:dyDescent="0.25">
      <c r="A7" s="4"/>
      <c r="B7" s="12" t="s">
        <v>7</v>
      </c>
      <c r="C7" s="29">
        <f>C5-C6</f>
        <v>25600</v>
      </c>
      <c r="D7" s="29">
        <f>D5-D6</f>
        <v>35355</v>
      </c>
      <c r="E7" s="29">
        <f>TotalsTableDecember[[#Totals],[ACTUAL]]-TotalsTableDecember[[#Totals],[ESTIMATED]]</f>
        <v>9755</v>
      </c>
      <c r="F7" s="4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4"/>
      <c r="B9" s="4"/>
      <c r="C9" s="4"/>
      <c r="D9" s="4"/>
      <c r="E9" s="4"/>
      <c r="F9" s="4"/>
    </row>
    <row r="10" spans="1:7" x14ac:dyDescent="0.25">
      <c r="A10" s="4"/>
      <c r="B10" s="4"/>
      <c r="C10" s="4"/>
      <c r="D10" s="4"/>
      <c r="E10" s="4"/>
      <c r="F10" s="4"/>
    </row>
    <row r="11" spans="1:7" x14ac:dyDescent="0.25">
      <c r="A11" s="4"/>
      <c r="B11" s="4"/>
      <c r="C11" s="4"/>
      <c r="D11" s="4"/>
      <c r="E11" s="4"/>
      <c r="F11" s="4"/>
    </row>
    <row r="12" spans="1:7" x14ac:dyDescent="0.25">
      <c r="A12" s="4"/>
      <c r="B12" s="4"/>
      <c r="C12" s="4"/>
      <c r="D12" s="4"/>
      <c r="E12" s="4"/>
      <c r="F12" s="4"/>
    </row>
    <row r="13" spans="1:7" x14ac:dyDescent="0.25">
      <c r="A13" s="4"/>
      <c r="B13" s="4"/>
      <c r="C13" s="4"/>
      <c r="D13" s="4"/>
      <c r="E13" s="4"/>
      <c r="F13" s="4"/>
    </row>
    <row r="14" spans="1:7" x14ac:dyDescent="0.25">
      <c r="A14" s="4"/>
      <c r="B14" s="4"/>
      <c r="C14" s="4"/>
      <c r="D14" s="4"/>
      <c r="E14" s="4"/>
      <c r="F14" s="4"/>
    </row>
    <row r="15" spans="1:7" x14ac:dyDescent="0.25">
      <c r="A15" s="4"/>
      <c r="B15" s="4"/>
      <c r="C15" s="4"/>
      <c r="D15" s="4"/>
      <c r="E15" s="4"/>
      <c r="F15" s="4"/>
    </row>
    <row r="16" spans="1:7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ht="18" x14ac:dyDescent="0.25">
      <c r="A31" s="4"/>
      <c r="B31" s="13" t="s">
        <v>8</v>
      </c>
      <c r="C31" s="4"/>
      <c r="D31" s="4"/>
      <c r="E31" s="4"/>
      <c r="F31" s="4"/>
    </row>
    <row r="32" spans="1:6" ht="15.75" x14ac:dyDescent="0.25">
      <c r="A32" s="4"/>
      <c r="B32" s="5" t="s">
        <v>9</v>
      </c>
      <c r="C32" s="5" t="s">
        <v>10</v>
      </c>
      <c r="D32" s="5" t="s">
        <v>11</v>
      </c>
      <c r="E32" s="5" t="s">
        <v>12</v>
      </c>
      <c r="F32" s="4"/>
    </row>
    <row r="33" spans="1:6" ht="15.75" x14ac:dyDescent="0.25">
      <c r="A33" s="4"/>
      <c r="B33" s="6" t="str">
        <f>INDEX(OpExpDec[],(MATCH(Top5ExpDecember[[#This Row],[AMOUNT]],OpExpDec[TOP 5 AMOUNT],0)),1)</f>
        <v>Pesticides/Chemicals</v>
      </c>
      <c r="C33" s="16">
        <f>LARGE(OpExpDec[TOP 5 AMOUNT],1)</f>
        <v>10000.000023000001</v>
      </c>
      <c r="D33" s="30">
        <f>Top5ExpDecember[[#This Row],[AMOUNT]]/$D$6</f>
        <v>0.16091399184166064</v>
      </c>
      <c r="E33" s="16">
        <f>Top5ExpDecember[[#This Row],[AMOUNT]]*0.15</f>
        <v>1500.0000034500001</v>
      </c>
      <c r="F33" s="4"/>
    </row>
    <row r="34" spans="1:6" ht="15.75" x14ac:dyDescent="0.25">
      <c r="A34" s="4"/>
      <c r="B34" s="6" t="str">
        <f>INDEX(OpExpDec[],(MATCH(Top5ExpDecember[[#This Row],[AMOUNT]],OpExpDec[TOP 5 AMOUNT],0)),1)</f>
        <v>Feed</v>
      </c>
      <c r="C34" s="16">
        <f>LARGE(OpExpDec[TOP 5 AMOUNT],2)</f>
        <v>7000.0000239999999</v>
      </c>
      <c r="D34" s="30">
        <f>Top5ExpDecember[[#This Row],[AMOUNT]]/$D$6</f>
        <v>0.11263979441628449</v>
      </c>
      <c r="E34" s="16">
        <f>Top5ExpDecember[[#This Row],[AMOUNT]]*0.15</f>
        <v>1050.0000035999999</v>
      </c>
      <c r="F34" s="4"/>
    </row>
    <row r="35" spans="1:6" ht="15.75" x14ac:dyDescent="0.25">
      <c r="A35" s="4"/>
      <c r="B35" s="6" t="str">
        <f>INDEX(OpExpDec[],(MATCH(Top5ExpDecember[[#This Row],[AMOUNT]],OpExpDec[TOP 5 AMOUNT],0)),1)</f>
        <v>Supplies</v>
      </c>
      <c r="C35" s="16">
        <f>LARGE(OpExpDec[TOP 5 AMOUNT],3)</f>
        <v>4500.0000259999997</v>
      </c>
      <c r="D35" s="30">
        <f>Top5ExpDecember[[#This Row],[AMOUNT]]/$D$6</f>
        <v>7.2411296580577683E-2</v>
      </c>
      <c r="E35" s="16">
        <f>Top5ExpDecember[[#This Row],[AMOUNT]]*0.15</f>
        <v>675.00000389999991</v>
      </c>
      <c r="F35" s="4"/>
    </row>
    <row r="36" spans="1:6" ht="15.75" x14ac:dyDescent="0.25">
      <c r="A36" s="4"/>
      <c r="B36" s="6" t="str">
        <f>INDEX(OpExpDec[],(MATCH(Top5ExpDecember[[#This Row],[AMOUNT]],OpExpDec[TOP 5 AMOUNT],0)),1)</f>
        <v>Rent or Mortgage</v>
      </c>
      <c r="C36" s="16">
        <f>LARGE(OpExpDec[TOP 5 AMOUNT],4)</f>
        <v>4500.0000250000003</v>
      </c>
      <c r="D36" s="30">
        <f>Top5ExpDecember[[#This Row],[AMOUNT]]/$D$6</f>
        <v>7.2411296564486291E-2</v>
      </c>
      <c r="E36" s="16">
        <f>Top5ExpDecember[[#This Row],[AMOUNT]]*0.15</f>
        <v>675.00000375000002</v>
      </c>
      <c r="F36" s="4"/>
    </row>
    <row r="37" spans="1:6" ht="15.75" x14ac:dyDescent="0.25">
      <c r="A37" s="4"/>
      <c r="B37" s="6" t="str">
        <f>INDEX(OpExpDec[],(MATCH(Top5ExpDecember[[#This Row],[AMOUNT]],OpExpDec[TOP 5 AMOUNT],0)),1)</f>
        <v>Maintenance and Repairs</v>
      </c>
      <c r="C37" s="16">
        <f>LARGE(OpExpDec[TOP 5 AMOUNT],5)</f>
        <v>4000.000027</v>
      </c>
      <c r="D37" s="30">
        <f>Top5ExpDecember[[#This Row],[AMOUNT]]/$D$6</f>
        <v>6.4365597023091164E-2</v>
      </c>
      <c r="E37" s="16">
        <f>Top5ExpDecember[[#This Row],[AMOUNT]]*0.15</f>
        <v>600.00000405000003</v>
      </c>
      <c r="F37" s="4"/>
    </row>
    <row r="38" spans="1:6" ht="15.75" x14ac:dyDescent="0.25">
      <c r="A38" s="4"/>
      <c r="B38" s="15" t="s">
        <v>13</v>
      </c>
      <c r="C38" s="31">
        <f>SUBTOTAL(109,Top5ExpDecember[AMOUNT])</f>
        <v>30000.000125000006</v>
      </c>
      <c r="D38" s="32">
        <f>SUBTOTAL(109,Top5ExpDecember[% OF EXPENSES])</f>
        <v>0.48274197642610028</v>
      </c>
      <c r="E38" s="31">
        <f>SUBTOTAL(109,Top5ExpDecember[15% REDUCTION])</f>
        <v>4500.00001875</v>
      </c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A501" s="4"/>
      <c r="B501" s="4"/>
      <c r="C501" s="4"/>
      <c r="D501" s="4"/>
      <c r="E501" s="4"/>
      <c r="F501" s="4"/>
    </row>
    <row r="502" spans="1:6" x14ac:dyDescent="0.25">
      <c r="A502" s="4"/>
      <c r="B502" s="4"/>
      <c r="C502" s="4"/>
      <c r="D502" s="4"/>
      <c r="E502" s="4"/>
      <c r="F502" s="4"/>
    </row>
    <row r="503" spans="1:6" x14ac:dyDescent="0.25">
      <c r="A503" s="4"/>
      <c r="B503" s="4"/>
      <c r="C503" s="4"/>
      <c r="D503" s="4"/>
      <c r="E503" s="4"/>
      <c r="F503" s="4"/>
    </row>
    <row r="504" spans="1:6" x14ac:dyDescent="0.25">
      <c r="A504" s="4"/>
      <c r="B504" s="4"/>
      <c r="C504" s="4"/>
      <c r="D504" s="4"/>
      <c r="E504" s="4"/>
      <c r="F504" s="4"/>
    </row>
    <row r="505" spans="1:6" x14ac:dyDescent="0.25">
      <c r="A505" s="4"/>
      <c r="B505" s="4"/>
      <c r="C505" s="4"/>
      <c r="D505" s="4"/>
      <c r="E505" s="4"/>
      <c r="F505" s="4"/>
    </row>
    <row r="506" spans="1:6" x14ac:dyDescent="0.25">
      <c r="A506" s="4"/>
      <c r="B506" s="4"/>
      <c r="C506" s="4"/>
      <c r="D506" s="4"/>
      <c r="E506" s="4"/>
      <c r="F506" s="4"/>
    </row>
    <row r="507" spans="1:6" x14ac:dyDescent="0.25">
      <c r="A507" s="4"/>
      <c r="B507" s="4"/>
      <c r="C507" s="4"/>
      <c r="D507" s="4"/>
      <c r="E507" s="4"/>
      <c r="F507" s="4"/>
    </row>
    <row r="508" spans="1:6" x14ac:dyDescent="0.25">
      <c r="A508" s="4"/>
      <c r="B508" s="4"/>
      <c r="C508" s="4"/>
      <c r="D508" s="4"/>
      <c r="E508" s="4"/>
      <c r="F508" s="4"/>
    </row>
    <row r="509" spans="1:6" x14ac:dyDescent="0.25">
      <c r="A509" s="4"/>
      <c r="B509" s="4"/>
      <c r="C509" s="4"/>
      <c r="D509" s="4"/>
      <c r="E509" s="4"/>
      <c r="F509" s="4"/>
    </row>
    <row r="510" spans="1:6" x14ac:dyDescent="0.25">
      <c r="A510" s="4"/>
      <c r="B510" s="4"/>
      <c r="C510" s="4"/>
      <c r="D510" s="4"/>
      <c r="E510" s="4"/>
      <c r="F510" s="4"/>
    </row>
    <row r="511" spans="1:6" x14ac:dyDescent="0.25">
      <c r="A511" s="4"/>
      <c r="B511" s="4"/>
      <c r="C511" s="4"/>
      <c r="D511" s="4"/>
      <c r="E511" s="4"/>
      <c r="F511" s="4"/>
    </row>
    <row r="512" spans="1:6" x14ac:dyDescent="0.25">
      <c r="A512" s="4"/>
      <c r="B512" s="4"/>
      <c r="C512" s="4"/>
      <c r="D512" s="4"/>
      <c r="E512" s="4"/>
      <c r="F512" s="4"/>
    </row>
    <row r="513" spans="1:6" x14ac:dyDescent="0.25">
      <c r="A513" s="4"/>
      <c r="B513" s="4"/>
      <c r="C513" s="4"/>
      <c r="D513" s="4"/>
      <c r="E513" s="4"/>
      <c r="F513" s="4"/>
    </row>
    <row r="514" spans="1:6" x14ac:dyDescent="0.25">
      <c r="A514" s="4"/>
      <c r="B514" s="4"/>
      <c r="C514" s="4"/>
      <c r="D514" s="4"/>
      <c r="E514" s="4"/>
      <c r="F514" s="4"/>
    </row>
    <row r="515" spans="1:6" x14ac:dyDescent="0.25">
      <c r="A515" s="4"/>
      <c r="B515" s="4"/>
      <c r="C515" s="4"/>
      <c r="D515" s="4"/>
      <c r="E515" s="4"/>
      <c r="F515" s="4"/>
    </row>
    <row r="516" spans="1:6" x14ac:dyDescent="0.25">
      <c r="A516" s="4"/>
      <c r="B516" s="4"/>
      <c r="C516" s="4"/>
      <c r="D516" s="4"/>
      <c r="E516" s="4"/>
      <c r="F516" s="4"/>
    </row>
    <row r="517" spans="1:6" x14ac:dyDescent="0.25">
      <c r="A517" s="4"/>
      <c r="B517" s="4"/>
      <c r="C517" s="4"/>
      <c r="D517" s="4"/>
      <c r="E517" s="4"/>
      <c r="F517" s="4"/>
    </row>
    <row r="518" spans="1:6" x14ac:dyDescent="0.25">
      <c r="A518" s="4"/>
      <c r="B518" s="4"/>
      <c r="C518" s="4"/>
      <c r="D518" s="4"/>
      <c r="E518" s="4"/>
      <c r="F518" s="4"/>
    </row>
    <row r="519" spans="1:6" x14ac:dyDescent="0.25">
      <c r="A519" s="4"/>
      <c r="B519" s="4"/>
      <c r="C519" s="4"/>
      <c r="D519" s="4"/>
      <c r="E519" s="4"/>
      <c r="F519" s="4"/>
    </row>
    <row r="520" spans="1:6" x14ac:dyDescent="0.25">
      <c r="A520" s="4"/>
      <c r="B520" s="4"/>
      <c r="C520" s="4"/>
      <c r="D520" s="4"/>
      <c r="E520" s="4"/>
      <c r="F520" s="4"/>
    </row>
    <row r="521" spans="1:6" x14ac:dyDescent="0.25">
      <c r="A521" s="4"/>
      <c r="B521" s="4"/>
      <c r="C521" s="4"/>
      <c r="D521" s="4"/>
      <c r="E521" s="4"/>
      <c r="F521" s="4"/>
    </row>
    <row r="522" spans="1:6" x14ac:dyDescent="0.25">
      <c r="A522" s="4"/>
      <c r="B522" s="4"/>
      <c r="C522" s="4"/>
      <c r="D522" s="4"/>
      <c r="E522" s="4"/>
      <c r="F522" s="4"/>
    </row>
    <row r="523" spans="1:6" x14ac:dyDescent="0.25">
      <c r="A523" s="4"/>
      <c r="B523" s="4"/>
      <c r="C523" s="4"/>
      <c r="D523" s="4"/>
      <c r="E523" s="4"/>
      <c r="F523" s="4"/>
    </row>
    <row r="524" spans="1:6" x14ac:dyDescent="0.25">
      <c r="A524" s="4"/>
      <c r="B524" s="4"/>
      <c r="C524" s="4"/>
      <c r="D524" s="4"/>
      <c r="E524" s="4"/>
      <c r="F524" s="4"/>
    </row>
    <row r="525" spans="1:6" x14ac:dyDescent="0.25">
      <c r="A525" s="4"/>
      <c r="B525" s="4"/>
      <c r="C525" s="4"/>
      <c r="D525" s="4"/>
      <c r="E525" s="4"/>
      <c r="F525" s="4"/>
    </row>
    <row r="526" spans="1:6" x14ac:dyDescent="0.25">
      <c r="A526" s="4"/>
      <c r="B526" s="4"/>
      <c r="C526" s="4"/>
      <c r="D526" s="4"/>
      <c r="E526" s="4"/>
      <c r="F526" s="4"/>
    </row>
    <row r="527" spans="1:6" x14ac:dyDescent="0.25">
      <c r="A527" s="4"/>
      <c r="B527" s="4"/>
      <c r="C527" s="4"/>
      <c r="D527" s="4"/>
      <c r="E527" s="4"/>
      <c r="F527" s="4"/>
    </row>
    <row r="528" spans="1:6" x14ac:dyDescent="0.25">
      <c r="A528" s="4"/>
      <c r="B528" s="4"/>
      <c r="C528" s="4"/>
      <c r="D528" s="4"/>
      <c r="E528" s="4"/>
      <c r="F528" s="4"/>
    </row>
    <row r="529" spans="1:6" x14ac:dyDescent="0.25">
      <c r="A529" s="4"/>
      <c r="B529" s="4"/>
      <c r="C529" s="4"/>
      <c r="D529" s="4"/>
      <c r="E529" s="4"/>
      <c r="F529" s="4"/>
    </row>
    <row r="530" spans="1:6" x14ac:dyDescent="0.25">
      <c r="A530" s="4"/>
      <c r="B530" s="4"/>
      <c r="C530" s="4"/>
      <c r="D530" s="4"/>
      <c r="E530" s="4"/>
      <c r="F530" s="4"/>
    </row>
    <row r="531" spans="1:6" x14ac:dyDescent="0.25">
      <c r="A531" s="4"/>
      <c r="B531" s="4"/>
      <c r="C531" s="4"/>
      <c r="D531" s="4"/>
      <c r="E531" s="4"/>
      <c r="F531" s="4"/>
    </row>
    <row r="532" spans="1:6" x14ac:dyDescent="0.25">
      <c r="A532" s="4"/>
      <c r="B532" s="4"/>
      <c r="C532" s="4"/>
      <c r="D532" s="4"/>
      <c r="E532" s="4"/>
      <c r="F532" s="4"/>
    </row>
    <row r="533" spans="1:6" x14ac:dyDescent="0.25">
      <c r="A533" s="4"/>
      <c r="B533" s="4"/>
      <c r="C533" s="4"/>
      <c r="D533" s="4"/>
      <c r="E533" s="4"/>
      <c r="F533" s="4"/>
    </row>
    <row r="534" spans="1:6" x14ac:dyDescent="0.25">
      <c r="A534" s="4"/>
      <c r="B534" s="4"/>
      <c r="C534" s="4"/>
      <c r="D534" s="4"/>
      <c r="E534" s="4"/>
      <c r="F534" s="4"/>
    </row>
    <row r="535" spans="1:6" x14ac:dyDescent="0.25">
      <c r="A535" s="4"/>
      <c r="B535" s="4"/>
      <c r="C535" s="4"/>
      <c r="D535" s="4"/>
      <c r="E535" s="4"/>
      <c r="F535" s="4"/>
    </row>
    <row r="536" spans="1:6" x14ac:dyDescent="0.25">
      <c r="A536" s="4"/>
      <c r="B536" s="4"/>
      <c r="C536" s="4"/>
      <c r="D536" s="4"/>
      <c r="E536" s="4"/>
      <c r="F536" s="4"/>
    </row>
    <row r="537" spans="1:6" x14ac:dyDescent="0.25">
      <c r="A537" s="4"/>
      <c r="B537" s="4"/>
      <c r="C537" s="4"/>
      <c r="D537" s="4"/>
      <c r="E537" s="4"/>
      <c r="F537" s="4"/>
    </row>
    <row r="538" spans="1:6" x14ac:dyDescent="0.25">
      <c r="A538" s="4"/>
      <c r="B538" s="4"/>
      <c r="C538" s="4"/>
      <c r="D538" s="4"/>
      <c r="E538" s="4"/>
      <c r="F538" s="4"/>
    </row>
    <row r="539" spans="1:6" x14ac:dyDescent="0.25">
      <c r="A539" s="4"/>
      <c r="B539" s="4"/>
      <c r="C539" s="4"/>
      <c r="D539" s="4"/>
      <c r="E539" s="4"/>
      <c r="F539" s="4"/>
    </row>
    <row r="540" spans="1:6" x14ac:dyDescent="0.25">
      <c r="A540" s="4"/>
      <c r="B540" s="4"/>
      <c r="C540" s="4"/>
      <c r="D540" s="4"/>
      <c r="E540" s="4"/>
      <c r="F540" s="4"/>
    </row>
    <row r="541" spans="1:6" x14ac:dyDescent="0.25">
      <c r="A541" s="4"/>
      <c r="B541" s="4"/>
      <c r="C541" s="4"/>
      <c r="D541" s="4"/>
      <c r="E541" s="4"/>
      <c r="F541" s="4"/>
    </row>
    <row r="542" spans="1:6" x14ac:dyDescent="0.25">
      <c r="A542" s="4"/>
      <c r="B542" s="4"/>
      <c r="C542" s="4"/>
      <c r="D542" s="4"/>
      <c r="E542" s="4"/>
      <c r="F542" s="4"/>
    </row>
    <row r="543" spans="1:6" x14ac:dyDescent="0.25">
      <c r="A543" s="4"/>
      <c r="B543" s="4"/>
      <c r="C543" s="4"/>
      <c r="D543" s="4"/>
      <c r="E543" s="4"/>
      <c r="F543" s="4"/>
    </row>
    <row r="544" spans="1:6" x14ac:dyDescent="0.25">
      <c r="A544" s="4"/>
      <c r="B544" s="4"/>
      <c r="C544" s="4"/>
      <c r="D544" s="4"/>
      <c r="E544" s="4"/>
      <c r="F544" s="4"/>
    </row>
    <row r="545" spans="1:6" x14ac:dyDescent="0.25">
      <c r="A545" s="4"/>
      <c r="B545" s="4"/>
      <c r="C545" s="4"/>
      <c r="D545" s="4"/>
      <c r="E545" s="4"/>
      <c r="F545" s="4"/>
    </row>
    <row r="546" spans="1:6" x14ac:dyDescent="0.25">
      <c r="A546" s="4"/>
      <c r="B546" s="4"/>
      <c r="C546" s="4"/>
      <c r="D546" s="4"/>
      <c r="E546" s="4"/>
      <c r="F546" s="4"/>
    </row>
    <row r="547" spans="1:6" x14ac:dyDescent="0.25">
      <c r="A547" s="4"/>
      <c r="B547" s="4"/>
      <c r="C547" s="4"/>
      <c r="D547" s="4"/>
      <c r="E547" s="4"/>
      <c r="F547" s="4"/>
    </row>
    <row r="548" spans="1:6" x14ac:dyDescent="0.25">
      <c r="A548" s="4"/>
      <c r="B548" s="4"/>
      <c r="C548" s="4"/>
      <c r="D548" s="4"/>
      <c r="E548" s="4"/>
      <c r="F548" s="4"/>
    </row>
    <row r="549" spans="1:6" x14ac:dyDescent="0.25">
      <c r="A549" s="4"/>
      <c r="B549" s="4"/>
      <c r="C549" s="4"/>
      <c r="D549" s="4"/>
      <c r="E549" s="4"/>
      <c r="F549" s="4"/>
    </row>
    <row r="550" spans="1:6" x14ac:dyDescent="0.25">
      <c r="A550" s="4"/>
      <c r="B550" s="4"/>
      <c r="C550" s="4"/>
      <c r="D550" s="4"/>
      <c r="E550" s="4"/>
      <c r="F550" s="4"/>
    </row>
    <row r="551" spans="1:6" x14ac:dyDescent="0.25">
      <c r="A551" s="4"/>
      <c r="B551" s="4"/>
      <c r="C551" s="4"/>
      <c r="D551" s="4"/>
      <c r="E551" s="4"/>
      <c r="F551" s="4"/>
    </row>
    <row r="552" spans="1:6" x14ac:dyDescent="0.25">
      <c r="A552" s="4"/>
      <c r="B552" s="4"/>
      <c r="C552" s="4"/>
      <c r="D552" s="4"/>
      <c r="E552" s="4"/>
      <c r="F552" s="4"/>
    </row>
    <row r="553" spans="1:6" x14ac:dyDescent="0.25">
      <c r="A553" s="4"/>
      <c r="B553" s="4"/>
      <c r="C553" s="4"/>
      <c r="D553" s="4"/>
      <c r="E553" s="4"/>
      <c r="F553" s="4"/>
    </row>
    <row r="554" spans="1:6" x14ac:dyDescent="0.25">
      <c r="A554" s="4"/>
      <c r="B554" s="4"/>
      <c r="C554" s="4"/>
      <c r="D554" s="4"/>
      <c r="E554" s="4"/>
      <c r="F554" s="4"/>
    </row>
    <row r="555" spans="1:6" x14ac:dyDescent="0.25">
      <c r="A555" s="4"/>
      <c r="B555" s="4"/>
      <c r="C555" s="4"/>
      <c r="D555" s="4"/>
      <c r="E555" s="4"/>
      <c r="F555" s="4"/>
    </row>
    <row r="556" spans="1:6" x14ac:dyDescent="0.25">
      <c r="A556" s="4"/>
      <c r="B556" s="4"/>
      <c r="C556" s="4"/>
      <c r="D556" s="4"/>
      <c r="E556" s="4"/>
      <c r="F556" s="4"/>
    </row>
    <row r="557" spans="1:6" x14ac:dyDescent="0.25">
      <c r="A557" s="4"/>
      <c r="B557" s="4"/>
      <c r="C557" s="4"/>
      <c r="D557" s="4"/>
      <c r="E557" s="4"/>
      <c r="F557" s="4"/>
    </row>
    <row r="558" spans="1:6" x14ac:dyDescent="0.25">
      <c r="A558" s="4"/>
      <c r="B558" s="4"/>
      <c r="C558" s="4"/>
      <c r="D558" s="4"/>
      <c r="E558" s="4"/>
      <c r="F558" s="4"/>
    </row>
    <row r="559" spans="1:6" x14ac:dyDescent="0.25">
      <c r="A559" s="4"/>
      <c r="B559" s="4"/>
      <c r="C559" s="4"/>
      <c r="D559" s="4"/>
      <c r="E559" s="4"/>
      <c r="F559" s="4"/>
    </row>
    <row r="560" spans="1:6" x14ac:dyDescent="0.25">
      <c r="A560" s="4"/>
      <c r="B560" s="4"/>
      <c r="C560" s="4"/>
      <c r="D560" s="4"/>
      <c r="E560" s="4"/>
      <c r="F560" s="4"/>
    </row>
    <row r="561" spans="1:6" x14ac:dyDescent="0.25">
      <c r="A561" s="4"/>
      <c r="B561" s="4"/>
      <c r="C561" s="4"/>
      <c r="D561" s="4"/>
      <c r="E561" s="4"/>
      <c r="F561" s="4"/>
    </row>
    <row r="562" spans="1:6" x14ac:dyDescent="0.25">
      <c r="A562" s="4"/>
      <c r="B562" s="4"/>
      <c r="C562" s="4"/>
      <c r="D562" s="4"/>
      <c r="E562" s="4"/>
      <c r="F562" s="4"/>
    </row>
    <row r="563" spans="1:6" x14ac:dyDescent="0.25">
      <c r="A563" s="4"/>
      <c r="B563" s="4"/>
      <c r="C563" s="4"/>
      <c r="D563" s="4"/>
      <c r="E563" s="4"/>
      <c r="F563" s="4"/>
    </row>
    <row r="564" spans="1:6" x14ac:dyDescent="0.25">
      <c r="A564" s="4"/>
      <c r="B564" s="4"/>
      <c r="C564" s="4"/>
      <c r="D564" s="4"/>
      <c r="E564" s="4"/>
      <c r="F564" s="4"/>
    </row>
    <row r="565" spans="1:6" x14ac:dyDescent="0.25">
      <c r="A565" s="4"/>
      <c r="B565" s="4"/>
      <c r="C565" s="4"/>
      <c r="D565" s="4"/>
      <c r="E565" s="4"/>
      <c r="F565" s="4"/>
    </row>
    <row r="566" spans="1:6" x14ac:dyDescent="0.25">
      <c r="A566" s="4"/>
      <c r="B566" s="4"/>
      <c r="C566" s="4"/>
      <c r="D566" s="4"/>
      <c r="E566" s="4"/>
      <c r="F566" s="4"/>
    </row>
    <row r="567" spans="1:6" x14ac:dyDescent="0.25">
      <c r="A567" s="4"/>
      <c r="B567" s="4"/>
      <c r="C567" s="4"/>
      <c r="D567" s="4"/>
      <c r="E567" s="4"/>
      <c r="F567" s="4"/>
    </row>
    <row r="568" spans="1:6" x14ac:dyDescent="0.25">
      <c r="A568" s="4"/>
      <c r="B568" s="4"/>
      <c r="C568" s="4"/>
      <c r="D568" s="4"/>
      <c r="E568" s="4"/>
      <c r="F568" s="4"/>
    </row>
    <row r="569" spans="1:6" x14ac:dyDescent="0.25">
      <c r="A569" s="4"/>
      <c r="B569" s="4"/>
      <c r="C569" s="4"/>
      <c r="D569" s="4"/>
      <c r="E569" s="4"/>
      <c r="F569" s="4"/>
    </row>
    <row r="570" spans="1:6" x14ac:dyDescent="0.25">
      <c r="A570" s="4"/>
      <c r="B570" s="4"/>
      <c r="C570" s="4"/>
      <c r="D570" s="4"/>
      <c r="E570" s="4"/>
      <c r="F570" s="4"/>
    </row>
    <row r="571" spans="1:6" x14ac:dyDescent="0.25">
      <c r="A571" s="4"/>
      <c r="B571" s="4"/>
      <c r="C571" s="4"/>
      <c r="D571" s="4"/>
      <c r="E571" s="4"/>
      <c r="F571" s="4"/>
    </row>
    <row r="572" spans="1:6" x14ac:dyDescent="0.25">
      <c r="A572" s="4"/>
      <c r="B572" s="4"/>
      <c r="C572" s="4"/>
      <c r="D572" s="4"/>
      <c r="E572" s="4"/>
      <c r="F572" s="4"/>
    </row>
    <row r="573" spans="1:6" x14ac:dyDescent="0.25">
      <c r="A573" s="4"/>
      <c r="B573" s="4"/>
      <c r="C573" s="4"/>
      <c r="D573" s="4"/>
      <c r="E573" s="4"/>
      <c r="F573" s="4"/>
    </row>
    <row r="574" spans="1:6" x14ac:dyDescent="0.25">
      <c r="A574" s="4"/>
      <c r="B574" s="4"/>
      <c r="C574" s="4"/>
      <c r="D574" s="4"/>
      <c r="E574" s="4"/>
      <c r="F574" s="4"/>
    </row>
    <row r="575" spans="1:6" x14ac:dyDescent="0.25">
      <c r="A575" s="4"/>
      <c r="B575" s="4"/>
      <c r="C575" s="4"/>
      <c r="D575" s="4"/>
      <c r="E575" s="4"/>
      <c r="F575" s="4"/>
    </row>
    <row r="576" spans="1:6" x14ac:dyDescent="0.25">
      <c r="A576" s="4"/>
      <c r="B576" s="4"/>
      <c r="C576" s="4"/>
      <c r="D576" s="4"/>
      <c r="E576" s="4"/>
      <c r="F576" s="4"/>
    </row>
    <row r="577" spans="1:6" x14ac:dyDescent="0.25">
      <c r="A577" s="4"/>
      <c r="B577" s="4"/>
      <c r="C577" s="4"/>
      <c r="D577" s="4"/>
      <c r="E577" s="4"/>
      <c r="F577" s="4"/>
    </row>
    <row r="578" spans="1:6" x14ac:dyDescent="0.25">
      <c r="A578" s="4"/>
      <c r="B578" s="4"/>
      <c r="C578" s="4"/>
      <c r="D578" s="4"/>
      <c r="E578" s="4"/>
      <c r="F578" s="4"/>
    </row>
    <row r="579" spans="1:6" x14ac:dyDescent="0.25">
      <c r="A579" s="4"/>
      <c r="B579" s="4"/>
      <c r="C579" s="4"/>
      <c r="D579" s="4"/>
      <c r="E579" s="4"/>
      <c r="F579" s="4"/>
    </row>
    <row r="580" spans="1:6" x14ac:dyDescent="0.25">
      <c r="A580" s="4"/>
      <c r="B580" s="4"/>
      <c r="C580" s="4"/>
      <c r="D580" s="4"/>
      <c r="E580" s="4"/>
      <c r="F580" s="4"/>
    </row>
    <row r="581" spans="1:6" x14ac:dyDescent="0.25">
      <c r="A581" s="4"/>
      <c r="B581" s="4"/>
      <c r="C581" s="4"/>
      <c r="D581" s="4"/>
      <c r="E581" s="4"/>
      <c r="F581" s="4"/>
    </row>
    <row r="582" spans="1:6" x14ac:dyDescent="0.25">
      <c r="A582" s="4"/>
      <c r="B582" s="4"/>
      <c r="C582" s="4"/>
      <c r="D582" s="4"/>
      <c r="E582" s="4"/>
      <c r="F582" s="4"/>
    </row>
    <row r="583" spans="1:6" x14ac:dyDescent="0.25">
      <c r="A583" s="4"/>
      <c r="B583" s="4"/>
      <c r="C583" s="4"/>
      <c r="D583" s="4"/>
      <c r="E583" s="4"/>
      <c r="F583" s="4"/>
    </row>
    <row r="584" spans="1:6" x14ac:dyDescent="0.25">
      <c r="A584" s="4"/>
      <c r="B584" s="4"/>
      <c r="C584" s="4"/>
      <c r="D584" s="4"/>
      <c r="E584" s="4"/>
      <c r="F584" s="4"/>
    </row>
    <row r="585" spans="1:6" x14ac:dyDescent="0.25">
      <c r="A585" s="4"/>
      <c r="B585" s="4"/>
      <c r="C585" s="4"/>
      <c r="D585" s="4"/>
      <c r="E585" s="4"/>
      <c r="F585" s="4"/>
    </row>
    <row r="586" spans="1:6" x14ac:dyDescent="0.25">
      <c r="A586" s="4"/>
      <c r="B586" s="4"/>
      <c r="C586" s="4"/>
      <c r="D586" s="4"/>
      <c r="E586" s="4"/>
      <c r="F586" s="4"/>
    </row>
    <row r="587" spans="1:6" x14ac:dyDescent="0.25">
      <c r="A587" s="4"/>
      <c r="B587" s="4"/>
      <c r="C587" s="4"/>
      <c r="D587" s="4"/>
      <c r="E587" s="4"/>
      <c r="F587" s="4"/>
    </row>
    <row r="588" spans="1:6" x14ac:dyDescent="0.25">
      <c r="A588" s="4"/>
      <c r="B588" s="4"/>
      <c r="C588" s="4"/>
      <c r="D588" s="4"/>
      <c r="E588" s="4"/>
      <c r="F588" s="4"/>
    </row>
    <row r="589" spans="1:6" x14ac:dyDescent="0.25">
      <c r="A589" s="4"/>
      <c r="B589" s="4"/>
      <c r="C589" s="4"/>
      <c r="D589" s="4"/>
      <c r="E589" s="4"/>
      <c r="F589" s="4"/>
    </row>
    <row r="590" spans="1:6" x14ac:dyDescent="0.25">
      <c r="A590" s="4"/>
      <c r="B590" s="4"/>
      <c r="C590" s="4"/>
      <c r="D590" s="4"/>
      <c r="E590" s="4"/>
      <c r="F590" s="4"/>
    </row>
    <row r="591" spans="1:6" x14ac:dyDescent="0.25">
      <c r="A591" s="4"/>
      <c r="B591" s="4"/>
      <c r="C591" s="4"/>
      <c r="D591" s="4"/>
      <c r="E591" s="4"/>
      <c r="F591" s="4"/>
    </row>
    <row r="592" spans="1:6" x14ac:dyDescent="0.25">
      <c r="A592" s="4"/>
      <c r="B592" s="4"/>
      <c r="C592" s="4"/>
      <c r="D592" s="4"/>
      <c r="E592" s="4"/>
      <c r="F592" s="4"/>
    </row>
    <row r="593" spans="1:6" x14ac:dyDescent="0.25">
      <c r="A593" s="4"/>
      <c r="B593" s="4"/>
      <c r="C593" s="4"/>
      <c r="D593" s="4"/>
      <c r="E593" s="4"/>
      <c r="F593" s="4"/>
    </row>
    <row r="594" spans="1:6" x14ac:dyDescent="0.25">
      <c r="A594" s="4"/>
      <c r="B594" s="4"/>
      <c r="C594" s="4"/>
      <c r="D594" s="4"/>
      <c r="E594" s="4"/>
      <c r="F594" s="4"/>
    </row>
    <row r="595" spans="1:6" x14ac:dyDescent="0.25">
      <c r="A595" s="4"/>
      <c r="B595" s="4"/>
      <c r="C595" s="4"/>
      <c r="D595" s="4"/>
      <c r="E595" s="4"/>
      <c r="F595" s="4"/>
    </row>
    <row r="596" spans="1:6" x14ac:dyDescent="0.25">
      <c r="A596" s="4"/>
      <c r="B596" s="4"/>
      <c r="C596" s="4"/>
      <c r="D596" s="4"/>
      <c r="E596" s="4"/>
      <c r="F596" s="4"/>
    </row>
    <row r="597" spans="1:6" x14ac:dyDescent="0.25">
      <c r="A597" s="4"/>
      <c r="B597" s="4"/>
      <c r="C597" s="4"/>
      <c r="D597" s="4"/>
      <c r="E597" s="4"/>
      <c r="F597" s="4"/>
    </row>
    <row r="598" spans="1:6" x14ac:dyDescent="0.25">
      <c r="A598" s="4"/>
      <c r="B598" s="4"/>
      <c r="C598" s="4"/>
      <c r="D598" s="4"/>
      <c r="E598" s="4"/>
      <c r="F598" s="4"/>
    </row>
    <row r="599" spans="1:6" x14ac:dyDescent="0.25">
      <c r="A599" s="4"/>
      <c r="B599" s="4"/>
      <c r="C599" s="4"/>
      <c r="D599" s="4"/>
      <c r="E599" s="4"/>
      <c r="F599" s="4"/>
    </row>
    <row r="600" spans="1:6" x14ac:dyDescent="0.25">
      <c r="A600" s="4"/>
      <c r="B600" s="4"/>
      <c r="C600" s="4"/>
      <c r="D600" s="4"/>
      <c r="E600" s="4"/>
      <c r="F600" s="4"/>
    </row>
    <row r="601" spans="1:6" x14ac:dyDescent="0.25">
      <c r="A601" s="4"/>
      <c r="B601" s="4"/>
      <c r="C601" s="4"/>
      <c r="D601" s="4"/>
      <c r="E601" s="4"/>
      <c r="F601" s="4"/>
    </row>
    <row r="602" spans="1:6" x14ac:dyDescent="0.25">
      <c r="A602" s="4"/>
      <c r="B602" s="4"/>
      <c r="C602" s="4"/>
      <c r="D602" s="4"/>
      <c r="E602" s="4"/>
      <c r="F602" s="4"/>
    </row>
    <row r="603" spans="1:6" x14ac:dyDescent="0.25">
      <c r="A603" s="4"/>
      <c r="B603" s="4"/>
      <c r="C603" s="4"/>
      <c r="D603" s="4"/>
      <c r="E603" s="4"/>
      <c r="F603" s="4"/>
    </row>
    <row r="604" spans="1:6" x14ac:dyDescent="0.25">
      <c r="A604" s="4"/>
      <c r="B604" s="4"/>
      <c r="C604" s="4"/>
      <c r="D604" s="4"/>
      <c r="E604" s="4"/>
      <c r="F604" s="4"/>
    </row>
    <row r="605" spans="1:6" x14ac:dyDescent="0.25">
      <c r="A605" s="4"/>
      <c r="B605" s="4"/>
      <c r="C605" s="4"/>
      <c r="D605" s="4"/>
      <c r="E605" s="4"/>
      <c r="F605" s="4"/>
    </row>
    <row r="606" spans="1:6" x14ac:dyDescent="0.25">
      <c r="A606" s="4"/>
      <c r="B606" s="4"/>
      <c r="C606" s="4"/>
      <c r="D606" s="4"/>
      <c r="E606" s="4"/>
      <c r="F606" s="4"/>
    </row>
    <row r="607" spans="1:6" x14ac:dyDescent="0.25">
      <c r="A607" s="4"/>
      <c r="B607" s="4"/>
      <c r="C607" s="4"/>
      <c r="D607" s="4"/>
      <c r="E607" s="4"/>
      <c r="F607" s="4"/>
    </row>
    <row r="608" spans="1:6" x14ac:dyDescent="0.25">
      <c r="A608" s="4"/>
      <c r="B608" s="4"/>
      <c r="C608" s="4"/>
      <c r="D608" s="4"/>
      <c r="E608" s="4"/>
      <c r="F608" s="4"/>
    </row>
    <row r="609" spans="1:6" x14ac:dyDescent="0.25">
      <c r="A609" s="4"/>
      <c r="B609" s="4"/>
      <c r="C609" s="4"/>
      <c r="D609" s="4"/>
      <c r="E609" s="4"/>
      <c r="F609" s="4"/>
    </row>
    <row r="610" spans="1:6" x14ac:dyDescent="0.25">
      <c r="A610" s="4"/>
      <c r="B610" s="4"/>
      <c r="C610" s="4"/>
      <c r="D610" s="4"/>
      <c r="E610" s="4"/>
      <c r="F610" s="4"/>
    </row>
    <row r="611" spans="1:6" x14ac:dyDescent="0.25">
      <c r="A611" s="4"/>
      <c r="B611" s="4"/>
      <c r="C611" s="4"/>
      <c r="D611" s="4"/>
      <c r="E611" s="4"/>
      <c r="F611" s="4"/>
    </row>
    <row r="612" spans="1:6" x14ac:dyDescent="0.25">
      <c r="A612" s="4"/>
      <c r="B612" s="4"/>
      <c r="C612" s="4"/>
      <c r="D612" s="4"/>
      <c r="E612" s="4"/>
      <c r="F612" s="4"/>
    </row>
    <row r="613" spans="1:6" x14ac:dyDescent="0.25">
      <c r="A613" s="4"/>
      <c r="B613" s="4"/>
      <c r="C613" s="4"/>
      <c r="D613" s="4"/>
      <c r="E613" s="4"/>
      <c r="F613" s="4"/>
    </row>
    <row r="614" spans="1:6" x14ac:dyDescent="0.25">
      <c r="A614" s="4"/>
      <c r="B614" s="4"/>
      <c r="C614" s="4"/>
      <c r="D614" s="4"/>
      <c r="E614" s="4"/>
      <c r="F614" s="4"/>
    </row>
    <row r="615" spans="1:6" x14ac:dyDescent="0.25">
      <c r="A615" s="4"/>
      <c r="B615" s="4"/>
      <c r="C615" s="4"/>
      <c r="D615" s="4"/>
      <c r="E615" s="4"/>
      <c r="F615" s="4"/>
    </row>
    <row r="616" spans="1:6" x14ac:dyDescent="0.25">
      <c r="A616" s="4"/>
      <c r="B616" s="4"/>
      <c r="C616" s="4"/>
      <c r="D616" s="4"/>
      <c r="E616" s="4"/>
      <c r="F616" s="4"/>
    </row>
    <row r="617" spans="1:6" x14ac:dyDescent="0.25">
      <c r="A617" s="4"/>
      <c r="B617" s="4"/>
      <c r="C617" s="4"/>
      <c r="D617" s="4"/>
      <c r="E617" s="4"/>
      <c r="F617" s="4"/>
    </row>
    <row r="618" spans="1:6" x14ac:dyDescent="0.25">
      <c r="A618" s="4"/>
      <c r="B618" s="4"/>
      <c r="C618" s="4"/>
      <c r="D618" s="4"/>
      <c r="E618" s="4"/>
      <c r="F618" s="4"/>
    </row>
    <row r="619" spans="1:6" x14ac:dyDescent="0.25">
      <c r="A619" s="4"/>
      <c r="B619" s="4"/>
      <c r="C619" s="4"/>
      <c r="D619" s="4"/>
      <c r="E619" s="4"/>
      <c r="F619" s="4"/>
    </row>
    <row r="620" spans="1:6" x14ac:dyDescent="0.25">
      <c r="A620" s="4"/>
      <c r="B620" s="4"/>
      <c r="C620" s="4"/>
      <c r="D620" s="4"/>
      <c r="E620" s="4"/>
      <c r="F620" s="4"/>
    </row>
    <row r="621" spans="1:6" x14ac:dyDescent="0.25">
      <c r="A621" s="4"/>
      <c r="B621" s="4"/>
      <c r="C621" s="4"/>
      <c r="D621" s="4"/>
      <c r="E621" s="4"/>
      <c r="F621" s="4"/>
    </row>
    <row r="622" spans="1:6" x14ac:dyDescent="0.25">
      <c r="A622" s="4"/>
      <c r="B622" s="4"/>
      <c r="C622" s="4"/>
      <c r="D622" s="4"/>
      <c r="E622" s="4"/>
      <c r="F622" s="4"/>
    </row>
    <row r="623" spans="1:6" x14ac:dyDescent="0.25">
      <c r="A623" s="4"/>
      <c r="B623" s="4"/>
      <c r="C623" s="4"/>
      <c r="D623" s="4"/>
      <c r="E623" s="4"/>
      <c r="F623" s="4"/>
    </row>
    <row r="624" spans="1:6" x14ac:dyDescent="0.25">
      <c r="A624" s="4"/>
      <c r="B624" s="4"/>
      <c r="C624" s="4"/>
      <c r="D624" s="4"/>
      <c r="E624" s="4"/>
      <c r="F624" s="4"/>
    </row>
    <row r="625" spans="1:6" x14ac:dyDescent="0.25">
      <c r="A625" s="4"/>
      <c r="B625" s="4"/>
      <c r="C625" s="4"/>
      <c r="D625" s="4"/>
      <c r="E625" s="4"/>
      <c r="F625" s="4"/>
    </row>
    <row r="626" spans="1:6" x14ac:dyDescent="0.25">
      <c r="A626" s="4"/>
      <c r="B626" s="4"/>
      <c r="C626" s="4"/>
      <c r="D626" s="4"/>
      <c r="E626" s="4"/>
      <c r="F626" s="4"/>
    </row>
    <row r="627" spans="1:6" x14ac:dyDescent="0.25">
      <c r="A627" s="4"/>
      <c r="B627" s="4"/>
      <c r="C627" s="4"/>
      <c r="D627" s="4"/>
      <c r="E627" s="4"/>
      <c r="F627" s="4"/>
    </row>
    <row r="628" spans="1:6" x14ac:dyDescent="0.25">
      <c r="A628" s="4"/>
      <c r="B628" s="4"/>
      <c r="C628" s="4"/>
      <c r="D628" s="4"/>
      <c r="E628" s="4"/>
      <c r="F628" s="4"/>
    </row>
    <row r="629" spans="1:6" x14ac:dyDescent="0.25">
      <c r="A629" s="4"/>
      <c r="B629" s="4"/>
      <c r="C629" s="4"/>
      <c r="D629" s="4"/>
      <c r="E629" s="4"/>
      <c r="F629" s="4"/>
    </row>
    <row r="630" spans="1:6" x14ac:dyDescent="0.25">
      <c r="A630" s="4"/>
      <c r="B630" s="4"/>
      <c r="C630" s="4"/>
      <c r="D630" s="4"/>
      <c r="E630" s="4"/>
      <c r="F630" s="4"/>
    </row>
    <row r="631" spans="1:6" x14ac:dyDescent="0.25">
      <c r="A631" s="4"/>
      <c r="B631" s="4"/>
      <c r="C631" s="4"/>
      <c r="D631" s="4"/>
      <c r="E631" s="4"/>
      <c r="F631" s="4"/>
    </row>
    <row r="632" spans="1:6" x14ac:dyDescent="0.25">
      <c r="A632" s="4"/>
      <c r="B632" s="4"/>
      <c r="C632" s="4"/>
      <c r="D632" s="4"/>
      <c r="E632" s="4"/>
      <c r="F632" s="4"/>
    </row>
    <row r="633" spans="1:6" x14ac:dyDescent="0.25">
      <c r="A633" s="4"/>
      <c r="B633" s="4"/>
      <c r="C633" s="4"/>
      <c r="D633" s="4"/>
      <c r="E633" s="4"/>
      <c r="F633" s="4"/>
    </row>
    <row r="634" spans="1:6" x14ac:dyDescent="0.25">
      <c r="A634" s="4"/>
      <c r="B634" s="4"/>
      <c r="C634" s="4"/>
      <c r="D634" s="4"/>
      <c r="E634" s="4"/>
      <c r="F634" s="4"/>
    </row>
    <row r="635" spans="1:6" x14ac:dyDescent="0.25">
      <c r="A635" s="4"/>
      <c r="B635" s="4"/>
      <c r="C635" s="4"/>
      <c r="D635" s="4"/>
      <c r="E635" s="4"/>
      <c r="F635" s="4"/>
    </row>
    <row r="636" spans="1:6" x14ac:dyDescent="0.25">
      <c r="A636" s="4"/>
      <c r="B636" s="4"/>
      <c r="C636" s="4"/>
      <c r="D636" s="4"/>
      <c r="E636" s="4"/>
      <c r="F636" s="4"/>
    </row>
    <row r="637" spans="1:6" x14ac:dyDescent="0.25">
      <c r="A637" s="4"/>
      <c r="B637" s="4"/>
      <c r="C637" s="4"/>
      <c r="D637" s="4"/>
      <c r="E637" s="4"/>
      <c r="F637" s="4"/>
    </row>
    <row r="638" spans="1:6" x14ac:dyDescent="0.25">
      <c r="A638" s="4"/>
      <c r="B638" s="4"/>
      <c r="C638" s="4"/>
      <c r="D638" s="4"/>
      <c r="E638" s="4"/>
      <c r="F638" s="4"/>
    </row>
    <row r="639" spans="1:6" x14ac:dyDescent="0.25">
      <c r="A639" s="4"/>
      <c r="B639" s="4"/>
      <c r="C639" s="4"/>
      <c r="D639" s="4"/>
      <c r="E639" s="4"/>
      <c r="F639" s="4"/>
    </row>
    <row r="640" spans="1:6" x14ac:dyDescent="0.25">
      <c r="A640" s="4"/>
      <c r="B640" s="4"/>
      <c r="C640" s="4"/>
      <c r="D640" s="4"/>
      <c r="E640" s="4"/>
      <c r="F640" s="4"/>
    </row>
    <row r="641" spans="1:6" x14ac:dyDescent="0.25">
      <c r="A641" s="4"/>
      <c r="B641" s="4"/>
      <c r="C641" s="4"/>
      <c r="D641" s="4"/>
      <c r="E641" s="4"/>
      <c r="F641" s="4"/>
    </row>
    <row r="642" spans="1:6" x14ac:dyDescent="0.25">
      <c r="A642" s="4"/>
      <c r="B642" s="4"/>
      <c r="C642" s="4"/>
      <c r="D642" s="4"/>
      <c r="E642" s="4"/>
      <c r="F642" s="4"/>
    </row>
    <row r="643" spans="1:6" x14ac:dyDescent="0.25">
      <c r="A643" s="4"/>
      <c r="B643" s="4"/>
      <c r="C643" s="4"/>
      <c r="D643" s="4"/>
      <c r="E643" s="4"/>
      <c r="F643" s="4"/>
    </row>
    <row r="644" spans="1:6" x14ac:dyDescent="0.25">
      <c r="A644" s="4"/>
      <c r="B644" s="4"/>
      <c r="C644" s="4"/>
      <c r="D644" s="4"/>
      <c r="E644" s="4"/>
      <c r="F644" s="4"/>
    </row>
    <row r="645" spans="1:6" x14ac:dyDescent="0.25">
      <c r="A645" s="4"/>
      <c r="B645" s="4"/>
      <c r="C645" s="4"/>
      <c r="D645" s="4"/>
      <c r="E645" s="4"/>
      <c r="F645" s="4"/>
    </row>
    <row r="646" spans="1:6" x14ac:dyDescent="0.25">
      <c r="A646" s="4"/>
      <c r="B646" s="4"/>
      <c r="C646" s="4"/>
      <c r="D646" s="4"/>
      <c r="E646" s="4"/>
      <c r="F646" s="4"/>
    </row>
    <row r="647" spans="1:6" x14ac:dyDescent="0.25">
      <c r="A647" s="4"/>
      <c r="B647" s="4"/>
      <c r="C647" s="4"/>
      <c r="D647" s="4"/>
      <c r="E647" s="4"/>
      <c r="F647" s="4"/>
    </row>
    <row r="648" spans="1:6" x14ac:dyDescent="0.25">
      <c r="A648" s="4"/>
      <c r="B648" s="4"/>
      <c r="C648" s="4"/>
      <c r="D648" s="4"/>
      <c r="E648" s="4"/>
      <c r="F648" s="4"/>
    </row>
    <row r="649" spans="1:6" x14ac:dyDescent="0.25">
      <c r="A649" s="4"/>
      <c r="B649" s="4"/>
      <c r="C649" s="4"/>
      <c r="D649" s="4"/>
      <c r="E649" s="4"/>
      <c r="F649" s="4"/>
    </row>
    <row r="650" spans="1:6" x14ac:dyDescent="0.25">
      <c r="A650" s="4"/>
      <c r="B650" s="4"/>
      <c r="C650" s="4"/>
      <c r="D650" s="4"/>
      <c r="E650" s="4"/>
      <c r="F650" s="4"/>
    </row>
    <row r="651" spans="1:6" x14ac:dyDescent="0.25">
      <c r="A651" s="4"/>
      <c r="B651" s="4"/>
      <c r="C651" s="4"/>
      <c r="D651" s="4"/>
      <c r="E651" s="4"/>
      <c r="F651" s="4"/>
    </row>
    <row r="652" spans="1:6" x14ac:dyDescent="0.25">
      <c r="A652" s="4"/>
      <c r="B652" s="4"/>
      <c r="C652" s="4"/>
      <c r="D652" s="4"/>
      <c r="E652" s="4"/>
      <c r="F652" s="4"/>
    </row>
    <row r="653" spans="1:6" x14ac:dyDescent="0.25">
      <c r="A653" s="4"/>
      <c r="B653" s="4"/>
      <c r="C653" s="4"/>
      <c r="D653" s="4"/>
      <c r="E653" s="4"/>
      <c r="F653" s="4"/>
    </row>
    <row r="654" spans="1:6" x14ac:dyDescent="0.25">
      <c r="A654" s="4"/>
      <c r="B654" s="4"/>
      <c r="C654" s="4"/>
      <c r="D654" s="4"/>
      <c r="E654" s="4"/>
      <c r="F654" s="4"/>
    </row>
    <row r="655" spans="1:6" x14ac:dyDescent="0.25">
      <c r="A655" s="4"/>
      <c r="B655" s="4"/>
      <c r="C655" s="4"/>
      <c r="D655" s="4"/>
      <c r="E655" s="4"/>
      <c r="F655" s="4"/>
    </row>
    <row r="656" spans="1:6" x14ac:dyDescent="0.25">
      <c r="A656" s="4"/>
      <c r="B656" s="4"/>
      <c r="C656" s="4"/>
      <c r="D656" s="4"/>
      <c r="E656" s="4"/>
      <c r="F656" s="4"/>
    </row>
    <row r="657" spans="1:6" x14ac:dyDescent="0.25">
      <c r="A657" s="4"/>
      <c r="B657" s="4"/>
      <c r="C657" s="4"/>
      <c r="D657" s="4"/>
      <c r="E657" s="4"/>
      <c r="F657" s="4"/>
    </row>
    <row r="658" spans="1:6" x14ac:dyDescent="0.25">
      <c r="A658" s="4"/>
      <c r="B658" s="4"/>
      <c r="C658" s="4"/>
      <c r="D658" s="4"/>
      <c r="E658" s="4"/>
      <c r="F658" s="4"/>
    </row>
    <row r="659" spans="1:6" x14ac:dyDescent="0.25">
      <c r="A659" s="4"/>
      <c r="B659" s="4"/>
      <c r="C659" s="4"/>
      <c r="D659" s="4"/>
      <c r="E659" s="4"/>
      <c r="F659" s="4"/>
    </row>
    <row r="660" spans="1:6" x14ac:dyDescent="0.25">
      <c r="A660" s="4"/>
      <c r="B660" s="4"/>
      <c r="C660" s="4"/>
      <c r="D660" s="4"/>
      <c r="E660" s="4"/>
      <c r="F660" s="4"/>
    </row>
    <row r="661" spans="1:6" x14ac:dyDescent="0.25">
      <c r="A661" s="4"/>
      <c r="B661" s="4"/>
      <c r="C661" s="4"/>
      <c r="D661" s="4"/>
      <c r="E661" s="4"/>
      <c r="F661" s="4"/>
    </row>
    <row r="662" spans="1:6" x14ac:dyDescent="0.25">
      <c r="A662" s="4"/>
      <c r="B662" s="4"/>
      <c r="C662" s="4"/>
      <c r="D662" s="4"/>
      <c r="E662" s="4"/>
      <c r="F662" s="4"/>
    </row>
    <row r="663" spans="1:6" x14ac:dyDescent="0.25">
      <c r="A663" s="4"/>
      <c r="B663" s="4"/>
      <c r="C663" s="4"/>
      <c r="D663" s="4"/>
      <c r="E663" s="4"/>
      <c r="F663" s="4"/>
    </row>
    <row r="664" spans="1:6" x14ac:dyDescent="0.25">
      <c r="A664" s="4"/>
      <c r="B664" s="4"/>
      <c r="C664" s="4"/>
      <c r="D664" s="4"/>
      <c r="E664" s="4"/>
      <c r="F664" s="4"/>
    </row>
    <row r="665" spans="1:6" x14ac:dyDescent="0.25">
      <c r="A665" s="4"/>
      <c r="B665" s="4"/>
      <c r="C665" s="4"/>
      <c r="D665" s="4"/>
      <c r="E665" s="4"/>
      <c r="F665" s="4"/>
    </row>
    <row r="666" spans="1:6" x14ac:dyDescent="0.25">
      <c r="A666" s="4"/>
      <c r="B666" s="4"/>
      <c r="C666" s="4"/>
      <c r="D666" s="4"/>
      <c r="E666" s="4"/>
      <c r="F666" s="4"/>
    </row>
    <row r="667" spans="1:6" x14ac:dyDescent="0.25">
      <c r="A667" s="4"/>
      <c r="B667" s="4"/>
      <c r="C667" s="4"/>
      <c r="D667" s="4"/>
      <c r="E667" s="4"/>
      <c r="F667" s="4"/>
    </row>
    <row r="668" spans="1:6" x14ac:dyDescent="0.25">
      <c r="A668" s="4"/>
      <c r="B668" s="4"/>
      <c r="C668" s="4"/>
      <c r="D668" s="4"/>
      <c r="E668" s="4"/>
      <c r="F668" s="4"/>
    </row>
    <row r="669" spans="1:6" x14ac:dyDescent="0.25">
      <c r="A669" s="4"/>
      <c r="B669" s="4"/>
      <c r="C669" s="4"/>
      <c r="D669" s="4"/>
      <c r="E669" s="4"/>
      <c r="F669" s="4"/>
    </row>
    <row r="670" spans="1:6" x14ac:dyDescent="0.25">
      <c r="A670" s="4"/>
      <c r="B670" s="4"/>
      <c r="C670" s="4"/>
      <c r="D670" s="4"/>
      <c r="E670" s="4"/>
      <c r="F670" s="4"/>
    </row>
    <row r="671" spans="1:6" x14ac:dyDescent="0.25">
      <c r="A671" s="4"/>
      <c r="B671" s="4"/>
      <c r="C671" s="4"/>
      <c r="D671" s="4"/>
      <c r="E671" s="4"/>
      <c r="F671" s="4"/>
    </row>
    <row r="672" spans="1:6" x14ac:dyDescent="0.25">
      <c r="A672" s="4"/>
      <c r="B672" s="4"/>
      <c r="C672" s="4"/>
      <c r="D672" s="4"/>
      <c r="E672" s="4"/>
      <c r="F672" s="4"/>
    </row>
    <row r="673" spans="1:6" x14ac:dyDescent="0.25">
      <c r="A673" s="4"/>
      <c r="B673" s="4"/>
      <c r="C673" s="4"/>
      <c r="D673" s="4"/>
      <c r="E673" s="4"/>
      <c r="F673" s="4"/>
    </row>
    <row r="674" spans="1:6" x14ac:dyDescent="0.25">
      <c r="A674" s="4"/>
      <c r="B674" s="4"/>
      <c r="C674" s="4"/>
      <c r="D674" s="4"/>
      <c r="E674" s="4"/>
      <c r="F674" s="4"/>
    </row>
    <row r="675" spans="1:6" x14ac:dyDescent="0.25">
      <c r="A675" s="4"/>
      <c r="B675" s="4"/>
      <c r="C675" s="4"/>
      <c r="D675" s="4"/>
      <c r="E675" s="4"/>
      <c r="F675" s="4"/>
    </row>
    <row r="676" spans="1:6" x14ac:dyDescent="0.25">
      <c r="A676" s="4"/>
      <c r="B676" s="4"/>
      <c r="C676" s="4"/>
      <c r="D676" s="4"/>
      <c r="E676" s="4"/>
      <c r="F676" s="4"/>
    </row>
    <row r="677" spans="1:6" x14ac:dyDescent="0.25">
      <c r="A677" s="4"/>
      <c r="B677" s="4"/>
      <c r="C677" s="4"/>
      <c r="D677" s="4"/>
      <c r="E677" s="4"/>
      <c r="F677" s="4"/>
    </row>
    <row r="678" spans="1:6" x14ac:dyDescent="0.25">
      <c r="A678" s="4"/>
      <c r="B678" s="4"/>
      <c r="C678" s="4"/>
      <c r="D678" s="4"/>
      <c r="E678" s="4"/>
      <c r="F678" s="4"/>
    </row>
    <row r="679" spans="1:6" x14ac:dyDescent="0.25">
      <c r="A679" s="4"/>
      <c r="B679" s="4"/>
      <c r="C679" s="4"/>
      <c r="D679" s="4"/>
      <c r="E679" s="4"/>
      <c r="F679" s="4"/>
    </row>
    <row r="680" spans="1:6" x14ac:dyDescent="0.25">
      <c r="A680" s="4"/>
      <c r="B680" s="4"/>
      <c r="C680" s="4"/>
      <c r="D680" s="4"/>
      <c r="E680" s="4"/>
      <c r="F680" s="4"/>
    </row>
    <row r="681" spans="1:6" x14ac:dyDescent="0.25">
      <c r="A681" s="4"/>
      <c r="B681" s="4"/>
      <c r="C681" s="4"/>
      <c r="D681" s="4"/>
      <c r="E681" s="4"/>
      <c r="F681" s="4"/>
    </row>
    <row r="682" spans="1:6" x14ac:dyDescent="0.25">
      <c r="A682" s="4"/>
      <c r="B682" s="4"/>
      <c r="C682" s="4"/>
      <c r="D682" s="4"/>
      <c r="E682" s="4"/>
      <c r="F682" s="4"/>
    </row>
    <row r="683" spans="1:6" x14ac:dyDescent="0.25">
      <c r="A683" s="4"/>
      <c r="B683" s="4"/>
      <c r="C683" s="4"/>
      <c r="D683" s="4"/>
      <c r="E683" s="4"/>
      <c r="F683" s="4"/>
    </row>
    <row r="684" spans="1:6" x14ac:dyDescent="0.25">
      <c r="A684" s="4"/>
      <c r="B684" s="4"/>
      <c r="C684" s="4"/>
      <c r="D684" s="4"/>
      <c r="E684" s="4"/>
      <c r="F684" s="4"/>
    </row>
    <row r="685" spans="1:6" x14ac:dyDescent="0.25">
      <c r="A685" s="4"/>
      <c r="B685" s="4"/>
      <c r="C685" s="4"/>
      <c r="D685" s="4"/>
      <c r="E685" s="4"/>
      <c r="F685" s="4"/>
    </row>
    <row r="686" spans="1:6" x14ac:dyDescent="0.25">
      <c r="A686" s="4"/>
      <c r="B686" s="4"/>
      <c r="C686" s="4"/>
      <c r="D686" s="4"/>
      <c r="E686" s="4"/>
      <c r="F686" s="4"/>
    </row>
    <row r="687" spans="1:6" x14ac:dyDescent="0.25">
      <c r="A687" s="4"/>
      <c r="B687" s="4"/>
      <c r="C687" s="4"/>
      <c r="D687" s="4"/>
      <c r="E687" s="4"/>
      <c r="F687" s="4"/>
    </row>
    <row r="688" spans="1:6" x14ac:dyDescent="0.25">
      <c r="A688" s="4"/>
      <c r="B688" s="4"/>
      <c r="C688" s="4"/>
      <c r="D688" s="4"/>
      <c r="E688" s="4"/>
      <c r="F688" s="4"/>
    </row>
    <row r="689" spans="1:6" x14ac:dyDescent="0.25">
      <c r="A689" s="4"/>
      <c r="B689" s="4"/>
      <c r="C689" s="4"/>
      <c r="D689" s="4"/>
      <c r="E689" s="4"/>
      <c r="F689" s="4"/>
    </row>
    <row r="690" spans="1:6" x14ac:dyDescent="0.25">
      <c r="A690" s="4"/>
      <c r="B690" s="4"/>
      <c r="C690" s="4"/>
      <c r="D690" s="4"/>
      <c r="E690" s="4"/>
      <c r="F690" s="4"/>
    </row>
    <row r="691" spans="1:6" x14ac:dyDescent="0.25">
      <c r="A691" s="4"/>
      <c r="B691" s="4"/>
      <c r="C691" s="4"/>
      <c r="D691" s="4"/>
      <c r="E691" s="4"/>
      <c r="F691" s="4"/>
    </row>
    <row r="692" spans="1:6" x14ac:dyDescent="0.25">
      <c r="A692" s="4"/>
      <c r="B692" s="4"/>
      <c r="C692" s="4"/>
      <c r="D692" s="4"/>
      <c r="E692" s="4"/>
      <c r="F692" s="4"/>
    </row>
    <row r="693" spans="1:6" x14ac:dyDescent="0.25">
      <c r="A693" s="4"/>
      <c r="B693" s="4"/>
      <c r="C693" s="4"/>
      <c r="D693" s="4"/>
      <c r="E693" s="4"/>
      <c r="F693" s="4"/>
    </row>
    <row r="694" spans="1:6" x14ac:dyDescent="0.25">
      <c r="A694" s="4"/>
      <c r="B694" s="4"/>
      <c r="C694" s="4"/>
      <c r="D694" s="4"/>
      <c r="E694" s="4"/>
      <c r="F694" s="4"/>
    </row>
    <row r="695" spans="1:6" x14ac:dyDescent="0.25">
      <c r="A695" s="4"/>
      <c r="B695" s="4"/>
      <c r="C695" s="4"/>
      <c r="D695" s="4"/>
      <c r="E695" s="4"/>
      <c r="F695" s="4"/>
    </row>
    <row r="696" spans="1:6" x14ac:dyDescent="0.25">
      <c r="A696" s="4"/>
      <c r="B696" s="4"/>
      <c r="C696" s="4"/>
      <c r="D696" s="4"/>
      <c r="E696" s="4"/>
      <c r="F696" s="4"/>
    </row>
    <row r="697" spans="1:6" x14ac:dyDescent="0.25">
      <c r="A697" s="4"/>
      <c r="B697" s="4"/>
      <c r="C697" s="4"/>
      <c r="D697" s="4"/>
      <c r="E697" s="4"/>
      <c r="F697" s="4"/>
    </row>
    <row r="698" spans="1:6" x14ac:dyDescent="0.25">
      <c r="A698" s="4"/>
      <c r="B698" s="4"/>
      <c r="C698" s="4"/>
      <c r="D698" s="4"/>
      <c r="E698" s="4"/>
      <c r="F698" s="4"/>
    </row>
    <row r="699" spans="1:6" x14ac:dyDescent="0.25">
      <c r="A699" s="4"/>
      <c r="B699" s="4"/>
      <c r="C699" s="4"/>
      <c r="D699" s="4"/>
      <c r="E699" s="4"/>
      <c r="F699" s="4"/>
    </row>
    <row r="700" spans="1:6" x14ac:dyDescent="0.25">
      <c r="A700" s="4"/>
      <c r="B700" s="4"/>
      <c r="C700" s="4"/>
      <c r="D700" s="4"/>
      <c r="E700" s="4"/>
      <c r="F700" s="4"/>
    </row>
    <row r="701" spans="1:6" x14ac:dyDescent="0.25">
      <c r="A701" s="4"/>
      <c r="B701" s="4"/>
      <c r="C701" s="4"/>
      <c r="D701" s="4"/>
      <c r="E701" s="4"/>
      <c r="F701" s="4"/>
    </row>
    <row r="702" spans="1:6" x14ac:dyDescent="0.25">
      <c r="A702" s="4"/>
      <c r="B702" s="4"/>
      <c r="C702" s="4"/>
      <c r="D702" s="4"/>
      <c r="E702" s="4"/>
      <c r="F702" s="4"/>
    </row>
    <row r="703" spans="1:6" x14ac:dyDescent="0.25">
      <c r="A703" s="4"/>
      <c r="B703" s="4"/>
      <c r="C703" s="4"/>
      <c r="D703" s="4"/>
      <c r="E703" s="4"/>
      <c r="F703" s="4"/>
    </row>
    <row r="704" spans="1:6" x14ac:dyDescent="0.25">
      <c r="A704" s="4"/>
      <c r="B704" s="4"/>
      <c r="C704" s="4"/>
      <c r="D704" s="4"/>
      <c r="E704" s="4"/>
      <c r="F704" s="4"/>
    </row>
    <row r="705" spans="1:6" x14ac:dyDescent="0.25">
      <c r="A705" s="4"/>
      <c r="B705" s="4"/>
      <c r="C705" s="4"/>
      <c r="D705" s="4"/>
      <c r="E705" s="4"/>
      <c r="F705" s="4"/>
    </row>
    <row r="706" spans="1:6" x14ac:dyDescent="0.25">
      <c r="A706" s="4"/>
      <c r="B706" s="4"/>
      <c r="C706" s="4"/>
      <c r="D706" s="4"/>
      <c r="E706" s="4"/>
      <c r="F706" s="4"/>
    </row>
    <row r="707" spans="1:6" x14ac:dyDescent="0.25">
      <c r="A707" s="4"/>
      <c r="B707" s="4"/>
      <c r="C707" s="4"/>
      <c r="D707" s="4"/>
      <c r="E707" s="4"/>
      <c r="F707" s="4"/>
    </row>
    <row r="708" spans="1:6" x14ac:dyDescent="0.25">
      <c r="A708" s="4"/>
      <c r="B708" s="4"/>
      <c r="C708" s="4"/>
      <c r="D708" s="4"/>
      <c r="E708" s="4"/>
      <c r="F708" s="4"/>
    </row>
    <row r="709" spans="1:6" x14ac:dyDescent="0.25">
      <c r="A709" s="4"/>
      <c r="B709" s="4"/>
      <c r="C709" s="4"/>
      <c r="D709" s="4"/>
      <c r="E709" s="4"/>
      <c r="F709" s="4"/>
    </row>
    <row r="710" spans="1:6" x14ac:dyDescent="0.25">
      <c r="A710" s="4"/>
      <c r="B710" s="4"/>
      <c r="C710" s="4"/>
      <c r="D710" s="4"/>
      <c r="E710" s="4"/>
      <c r="F710" s="4"/>
    </row>
    <row r="711" spans="1:6" x14ac:dyDescent="0.25">
      <c r="A711" s="4"/>
      <c r="B711" s="4"/>
      <c r="C711" s="4"/>
      <c r="D711" s="4"/>
      <c r="E711" s="4"/>
      <c r="F711" s="4"/>
    </row>
    <row r="712" spans="1:6" x14ac:dyDescent="0.25">
      <c r="A712" s="4"/>
      <c r="B712" s="4"/>
      <c r="C712" s="4"/>
      <c r="D712" s="4"/>
      <c r="E712" s="4"/>
      <c r="F712" s="4"/>
    </row>
    <row r="713" spans="1:6" x14ac:dyDescent="0.25">
      <c r="A713" s="4"/>
      <c r="B713" s="4"/>
      <c r="C713" s="4"/>
      <c r="D713" s="4"/>
      <c r="E713" s="4"/>
      <c r="F713" s="4"/>
    </row>
    <row r="714" spans="1:6" x14ac:dyDescent="0.25">
      <c r="A714" s="4"/>
      <c r="B714" s="4"/>
      <c r="C714" s="4"/>
      <c r="D714" s="4"/>
      <c r="E714" s="4"/>
      <c r="F714" s="4"/>
    </row>
    <row r="715" spans="1:6" x14ac:dyDescent="0.25">
      <c r="A715" s="4"/>
      <c r="B715" s="4"/>
      <c r="C715" s="4"/>
      <c r="D715" s="4"/>
      <c r="E715" s="4"/>
      <c r="F715" s="4"/>
    </row>
    <row r="716" spans="1:6" x14ac:dyDescent="0.25">
      <c r="A716" s="4"/>
      <c r="B716" s="4"/>
      <c r="C716" s="4"/>
      <c r="D716" s="4"/>
      <c r="E716" s="4"/>
      <c r="F716" s="4"/>
    </row>
    <row r="717" spans="1:6" x14ac:dyDescent="0.25">
      <c r="A717" s="4"/>
      <c r="B717" s="4"/>
      <c r="C717" s="4"/>
      <c r="D717" s="4"/>
      <c r="E717" s="4"/>
      <c r="F717" s="4"/>
    </row>
    <row r="718" spans="1:6" x14ac:dyDescent="0.25">
      <c r="A718" s="4"/>
      <c r="B718" s="4"/>
      <c r="C718" s="4"/>
      <c r="D718" s="4"/>
      <c r="E718" s="4"/>
      <c r="F718" s="4"/>
    </row>
    <row r="719" spans="1:6" x14ac:dyDescent="0.25">
      <c r="A719" s="4"/>
      <c r="B719" s="4"/>
      <c r="C719" s="4"/>
      <c r="D719" s="4"/>
      <c r="E719" s="4"/>
      <c r="F719" s="4"/>
    </row>
    <row r="720" spans="1:6" x14ac:dyDescent="0.25">
      <c r="A720" s="4"/>
      <c r="B720" s="4"/>
      <c r="C720" s="4"/>
      <c r="D720" s="4"/>
      <c r="E720" s="4"/>
      <c r="F720" s="4"/>
    </row>
    <row r="721" spans="1:6" x14ac:dyDescent="0.25">
      <c r="A721" s="4"/>
      <c r="B721" s="4"/>
      <c r="C721" s="4"/>
      <c r="D721" s="4"/>
      <c r="E721" s="4"/>
      <c r="F721" s="4"/>
    </row>
    <row r="722" spans="1:6" x14ac:dyDescent="0.25">
      <c r="A722" s="4"/>
      <c r="B722" s="4"/>
      <c r="C722" s="4"/>
      <c r="D722" s="4"/>
      <c r="E722" s="4"/>
      <c r="F722" s="4"/>
    </row>
    <row r="723" spans="1:6" x14ac:dyDescent="0.25">
      <c r="A723" s="4"/>
      <c r="B723" s="4"/>
      <c r="C723" s="4"/>
      <c r="D723" s="4"/>
      <c r="E723" s="4"/>
      <c r="F723" s="4"/>
    </row>
    <row r="724" spans="1:6" x14ac:dyDescent="0.25">
      <c r="A724" s="4"/>
      <c r="B724" s="4"/>
      <c r="C724" s="4"/>
      <c r="D724" s="4"/>
      <c r="E724" s="4"/>
      <c r="F724" s="4"/>
    </row>
    <row r="725" spans="1:6" x14ac:dyDescent="0.25">
      <c r="A725" s="4"/>
      <c r="B725" s="4"/>
      <c r="C725" s="4"/>
      <c r="D725" s="4"/>
      <c r="E725" s="4"/>
      <c r="F725" s="4"/>
    </row>
    <row r="726" spans="1:6" x14ac:dyDescent="0.25">
      <c r="A726" s="4"/>
      <c r="B726" s="4"/>
      <c r="C726" s="4"/>
      <c r="D726" s="4"/>
      <c r="E726" s="4"/>
      <c r="F726" s="4"/>
    </row>
    <row r="727" spans="1:6" x14ac:dyDescent="0.25">
      <c r="A727" s="4"/>
      <c r="B727" s="4"/>
      <c r="C727" s="4"/>
      <c r="D727" s="4"/>
      <c r="E727" s="4"/>
      <c r="F727" s="4"/>
    </row>
    <row r="728" spans="1:6" x14ac:dyDescent="0.25">
      <c r="A728" s="4"/>
      <c r="B728" s="4"/>
      <c r="C728" s="4"/>
      <c r="D728" s="4"/>
      <c r="E728" s="4"/>
      <c r="F728" s="4"/>
    </row>
    <row r="729" spans="1:6" x14ac:dyDescent="0.25">
      <c r="A729" s="4"/>
      <c r="B729" s="4"/>
      <c r="C729" s="4"/>
      <c r="D729" s="4"/>
      <c r="E729" s="4"/>
      <c r="F729" s="4"/>
    </row>
    <row r="730" spans="1:6" x14ac:dyDescent="0.25">
      <c r="A730" s="4"/>
      <c r="B730" s="4"/>
      <c r="C730" s="4"/>
      <c r="D730" s="4"/>
      <c r="E730" s="4"/>
      <c r="F730" s="4"/>
    </row>
    <row r="731" spans="1:6" x14ac:dyDescent="0.25">
      <c r="A731" s="4"/>
      <c r="B731" s="4"/>
      <c r="C731" s="4"/>
      <c r="D731" s="4"/>
      <c r="E731" s="4"/>
      <c r="F731" s="4"/>
    </row>
    <row r="732" spans="1:6" x14ac:dyDescent="0.25">
      <c r="A732" s="4"/>
      <c r="B732" s="4"/>
      <c r="C732" s="4"/>
      <c r="D732" s="4"/>
      <c r="E732" s="4"/>
      <c r="F732" s="4"/>
    </row>
    <row r="733" spans="1:6" x14ac:dyDescent="0.25">
      <c r="A733" s="4"/>
      <c r="B733" s="4"/>
      <c r="C733" s="4"/>
      <c r="D733" s="4"/>
      <c r="E733" s="4"/>
      <c r="F733" s="4"/>
    </row>
    <row r="734" spans="1:6" x14ac:dyDescent="0.25">
      <c r="A734" s="4"/>
      <c r="B734" s="4"/>
      <c r="C734" s="4"/>
      <c r="D734" s="4"/>
      <c r="E734" s="4"/>
      <c r="F734" s="4"/>
    </row>
    <row r="735" spans="1:6" x14ac:dyDescent="0.25">
      <c r="A735" s="4"/>
      <c r="B735" s="4"/>
      <c r="C735" s="4"/>
      <c r="D735" s="4"/>
      <c r="E735" s="4"/>
      <c r="F735" s="4"/>
    </row>
    <row r="736" spans="1:6" x14ac:dyDescent="0.25">
      <c r="A736" s="4"/>
      <c r="B736" s="4"/>
      <c r="C736" s="4"/>
      <c r="D736" s="4"/>
      <c r="E736" s="4"/>
      <c r="F736" s="4"/>
    </row>
    <row r="737" spans="1:6" x14ac:dyDescent="0.25">
      <c r="A737" s="4"/>
      <c r="B737" s="4"/>
      <c r="C737" s="4"/>
      <c r="D737" s="4"/>
      <c r="E737" s="4"/>
      <c r="F737" s="4"/>
    </row>
    <row r="738" spans="1:6" x14ac:dyDescent="0.25">
      <c r="A738" s="4"/>
      <c r="B738" s="4"/>
      <c r="C738" s="4"/>
      <c r="D738" s="4"/>
      <c r="E738" s="4"/>
      <c r="F738" s="4"/>
    </row>
    <row r="739" spans="1:6" x14ac:dyDescent="0.25">
      <c r="A739" s="4"/>
      <c r="B739" s="4"/>
      <c r="C739" s="4"/>
      <c r="D739" s="4"/>
      <c r="E739" s="4"/>
      <c r="F739" s="4"/>
    </row>
    <row r="740" spans="1:6" x14ac:dyDescent="0.25">
      <c r="A740" s="4"/>
      <c r="B740" s="4"/>
      <c r="C740" s="4"/>
      <c r="D740" s="4"/>
      <c r="E740" s="4"/>
      <c r="F740" s="4"/>
    </row>
    <row r="741" spans="1:6" x14ac:dyDescent="0.25">
      <c r="A741" s="4"/>
      <c r="B741" s="4"/>
      <c r="C741" s="4"/>
      <c r="D741" s="4"/>
      <c r="E741" s="4"/>
      <c r="F741" s="4"/>
    </row>
    <row r="742" spans="1:6" x14ac:dyDescent="0.25">
      <c r="A742" s="4"/>
      <c r="B742" s="4"/>
      <c r="C742" s="4"/>
      <c r="D742" s="4"/>
      <c r="E742" s="4"/>
      <c r="F742" s="4"/>
    </row>
    <row r="743" spans="1:6" x14ac:dyDescent="0.25">
      <c r="A743" s="4"/>
      <c r="B743" s="4"/>
      <c r="C743" s="4"/>
      <c r="D743" s="4"/>
      <c r="E743" s="4"/>
      <c r="F743" s="4"/>
    </row>
    <row r="744" spans="1:6" x14ac:dyDescent="0.25">
      <c r="A744" s="4"/>
      <c r="B744" s="4"/>
      <c r="C744" s="4"/>
      <c r="D744" s="4"/>
      <c r="E744" s="4"/>
      <c r="F744" s="4"/>
    </row>
    <row r="745" spans="1:6" x14ac:dyDescent="0.25">
      <c r="A745" s="4"/>
      <c r="B745" s="4"/>
      <c r="C745" s="4"/>
      <c r="D745" s="4"/>
      <c r="E745" s="4"/>
      <c r="F745" s="4"/>
    </row>
    <row r="746" spans="1:6" x14ac:dyDescent="0.25">
      <c r="B746" s="4"/>
      <c r="C746" s="4"/>
      <c r="D746" s="4"/>
      <c r="E746" s="4"/>
    </row>
    <row r="747" spans="1:6" x14ac:dyDescent="0.25">
      <c r="B747" s="4"/>
      <c r="C747" s="4"/>
      <c r="D747" s="4"/>
      <c r="E747" s="4"/>
    </row>
  </sheetData>
  <mergeCells count="1">
    <mergeCell ref="E3:F3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2"/>
  <sheetViews>
    <sheetView tabSelected="1" topLeftCell="A8" workbookViewId="0">
      <selection activeCell="B21" activeCellId="3" sqref="B3 B6:D10 B14:D17 B21:D48"/>
    </sheetView>
  </sheetViews>
  <sheetFormatPr defaultRowHeight="15" x14ac:dyDescent="0.25"/>
  <cols>
    <col min="1" max="1" width="4.85546875" customWidth="1"/>
    <col min="2" max="2" width="34" customWidth="1"/>
    <col min="3" max="3" width="16.140625" bestFit="1" customWidth="1"/>
    <col min="4" max="4" width="14.85546875" customWidth="1"/>
    <col min="5" max="5" width="1.28515625" customWidth="1"/>
    <col min="6" max="6" width="17" bestFit="1" customWidth="1"/>
  </cols>
  <sheetData>
    <row r="2" spans="1:7" ht="20.25" x14ac:dyDescent="0.3">
      <c r="B2" s="1" t="str">
        <f>'Yearly Budget Summary'!B2</f>
        <v>Enter Company Name Here</v>
      </c>
      <c r="C2" s="1"/>
      <c r="D2" s="1"/>
    </row>
    <row r="3" spans="1:7" ht="33" x14ac:dyDescent="0.45">
      <c r="B3" s="41" t="s">
        <v>0</v>
      </c>
      <c r="C3" s="2"/>
      <c r="D3" s="2"/>
    </row>
    <row r="4" spans="1:7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5" t="s">
        <v>15</v>
      </c>
      <c r="C5" s="5" t="s">
        <v>2</v>
      </c>
      <c r="D5" s="5" t="s">
        <v>3</v>
      </c>
      <c r="E5" s="5" t="s">
        <v>16</v>
      </c>
      <c r="F5" s="5" t="s">
        <v>17</v>
      </c>
      <c r="G5" s="4"/>
    </row>
    <row r="6" spans="1:7" ht="15.75" x14ac:dyDescent="0.25">
      <c r="A6" s="4"/>
      <c r="B6" s="43" t="s">
        <v>52</v>
      </c>
      <c r="C6" s="51">
        <v>50000</v>
      </c>
      <c r="D6" s="51">
        <v>60000</v>
      </c>
      <c r="E6" s="19">
        <f>DecIncome[[#This Row],[ACTUAL]]+(10^-6)*ROW(DecIncome[[#This Row],[ACTUAL]])</f>
        <v>60000.000006000002</v>
      </c>
      <c r="F6" s="22">
        <f>DecIncome[[#This Row],[ACTUAL]]-DecIncome[[#This Row],[ESTIMATED]]</f>
        <v>10000</v>
      </c>
      <c r="G6" s="4"/>
    </row>
    <row r="7" spans="1:7" ht="15.75" x14ac:dyDescent="0.25">
      <c r="A7" s="4"/>
      <c r="B7" s="43" t="s">
        <v>55</v>
      </c>
      <c r="C7" s="51">
        <v>30000</v>
      </c>
      <c r="D7" s="51">
        <v>28000</v>
      </c>
      <c r="E7" s="19">
        <f>DecIncome[[#This Row],[ACTUAL]]+(10^-6)*ROW(DecIncome[[#This Row],[ACTUAL]])</f>
        <v>28000.000006999999</v>
      </c>
      <c r="F7" s="22">
        <f>DecIncome[[#This Row],[ACTUAL]]-DecIncome[[#This Row],[ESTIMATED]]</f>
        <v>-2000</v>
      </c>
      <c r="G7" s="4"/>
    </row>
    <row r="8" spans="1:7" ht="15.75" x14ac:dyDescent="0.25">
      <c r="A8" s="4"/>
      <c r="B8" s="43" t="s">
        <v>56</v>
      </c>
      <c r="C8" s="51">
        <v>3000</v>
      </c>
      <c r="D8" s="51">
        <v>3000</v>
      </c>
      <c r="E8" s="19">
        <f>DecIncome[[#This Row],[ACTUAL]]+(10^-6)*ROW(DecIncome[[#This Row],[ACTUAL]])</f>
        <v>3000.000008</v>
      </c>
      <c r="F8" s="22">
        <f>DecIncome[[#This Row],[ACTUAL]]-DecIncome[[#This Row],[ESTIMATED]]</f>
        <v>0</v>
      </c>
      <c r="G8" s="4"/>
    </row>
    <row r="9" spans="1:7" ht="15.75" x14ac:dyDescent="0.25">
      <c r="A9" s="4"/>
      <c r="B9" s="43" t="s">
        <v>54</v>
      </c>
      <c r="C9" s="51">
        <v>3000</v>
      </c>
      <c r="D9" s="51">
        <v>3000</v>
      </c>
      <c r="E9" s="19">
        <f>DecIncome[[#This Row],[ACTUAL]]+(10^-6)*ROW(DecIncome[[#This Row],[ACTUAL]])</f>
        <v>3000.0000089999999</v>
      </c>
      <c r="F9" s="22">
        <f>DecIncome[[#This Row],[ACTUAL]]-DecIncome[[#This Row],[ESTIMATED]]</f>
        <v>0</v>
      </c>
      <c r="G9" s="4"/>
    </row>
    <row r="10" spans="1:7" ht="15.75" x14ac:dyDescent="0.25">
      <c r="A10" s="4"/>
      <c r="B10" s="43" t="s">
        <v>53</v>
      </c>
      <c r="C10" s="51">
        <v>4000</v>
      </c>
      <c r="D10" s="51">
        <v>3500</v>
      </c>
      <c r="E10" s="19">
        <f>DecIncome[[#This Row],[ACTUAL]]+(10^-6)*ROW(DecIncome[[#This Row],[ACTUAL]])</f>
        <v>3500.0000100000002</v>
      </c>
      <c r="F10" s="22">
        <f>DecIncome[[#This Row],[ACTUAL]]-DecIncome[[#This Row],[ESTIMATED]]</f>
        <v>-500</v>
      </c>
      <c r="G10" s="4"/>
    </row>
    <row r="11" spans="1:7" ht="15.75" x14ac:dyDescent="0.25">
      <c r="A11" s="4"/>
      <c r="B11" s="14" t="s">
        <v>18</v>
      </c>
      <c r="C11" s="21">
        <f>SUBTOTAL(109,DecIncome[ESTIMATED])</f>
        <v>90000</v>
      </c>
      <c r="D11" s="21">
        <f>SUBTOTAL(109,DecIncome[ACTUAL])</f>
        <v>97500</v>
      </c>
      <c r="E11" s="21"/>
      <c r="F11" s="23">
        <f>SUBTOTAL(109,DecIncome[DIFFERENCE])</f>
        <v>7500</v>
      </c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ht="15.75" x14ac:dyDescent="0.25">
      <c r="A13" s="4"/>
      <c r="B13" s="8" t="s">
        <v>19</v>
      </c>
      <c r="C13" s="9" t="s">
        <v>2</v>
      </c>
      <c r="D13" s="9" t="s">
        <v>3</v>
      </c>
      <c r="E13" s="9" t="s">
        <v>16</v>
      </c>
      <c r="F13" s="10" t="s">
        <v>17</v>
      </c>
      <c r="G13" s="4"/>
    </row>
    <row r="14" spans="1:7" ht="15.75" x14ac:dyDescent="0.25">
      <c r="A14" s="4"/>
      <c r="B14" s="47" t="s">
        <v>23</v>
      </c>
      <c r="C14" s="51">
        <v>5000</v>
      </c>
      <c r="D14" s="51">
        <v>4600</v>
      </c>
      <c r="E14" s="19">
        <f>PersonnelTableDec[[#This Row],[ACTUAL]]+(10^-6)*ROW(PersonnelTableDec[[#This Row],[ACTUAL]])</f>
        <v>4600.0000140000002</v>
      </c>
      <c r="F14" s="24">
        <f>PersonnelTableDec[[#This Row],[ESTIMATED]]-PersonnelTableDec[[#This Row],[ACTUAL]]</f>
        <v>400</v>
      </c>
      <c r="G14" s="4"/>
    </row>
    <row r="15" spans="1:7" ht="15.75" x14ac:dyDescent="0.25">
      <c r="A15" s="4"/>
      <c r="B15" s="47" t="s">
        <v>24</v>
      </c>
      <c r="C15" s="51">
        <v>2000</v>
      </c>
      <c r="D15" s="51">
        <v>0</v>
      </c>
      <c r="E15" s="19">
        <f>PersonnelTableDec[[#This Row],[ACTUAL]]+(10^-6)*ROW(PersonnelTableDec[[#This Row],[ACTUAL]])</f>
        <v>1.4999999999999999E-5</v>
      </c>
      <c r="F15" s="24">
        <f>PersonnelTableDec[[#This Row],[ESTIMATED]]-PersonnelTableDec[[#This Row],[ACTUAL]]</f>
        <v>2000</v>
      </c>
      <c r="G15" s="4"/>
    </row>
    <row r="16" spans="1:7" ht="15.75" x14ac:dyDescent="0.25">
      <c r="A16" s="4"/>
      <c r="B16" s="47" t="s">
        <v>25</v>
      </c>
      <c r="C16" s="51">
        <v>4000</v>
      </c>
      <c r="D16" s="51">
        <v>3000</v>
      </c>
      <c r="E16" s="19">
        <f>PersonnelTableDec[[#This Row],[ACTUAL]]+(10^-6)*ROW(PersonnelTableDec[[#This Row],[ACTUAL]])</f>
        <v>3000.000016</v>
      </c>
      <c r="F16" s="24">
        <f>PersonnelTableDec[[#This Row],[ESTIMATED]]-PersonnelTableDec[[#This Row],[ACTUAL]]</f>
        <v>1000</v>
      </c>
      <c r="G16" s="4"/>
    </row>
    <row r="17" spans="1:7" ht="15.75" x14ac:dyDescent="0.25">
      <c r="A17" s="4"/>
      <c r="B17" s="47" t="s">
        <v>26</v>
      </c>
      <c r="C17" s="51">
        <v>2000</v>
      </c>
      <c r="D17" s="51">
        <v>1500</v>
      </c>
      <c r="E17" s="19">
        <f>PersonnelTableDec[[#This Row],[ACTUAL]]+(10^-6)*ROW(PersonnelTableDec[[#This Row],[ACTUAL]])</f>
        <v>1500.0000170000001</v>
      </c>
      <c r="F17" s="24">
        <f>PersonnelTableDec[[#This Row],[ESTIMATED]]-PersonnelTableDec[[#This Row],[ACTUAL]]</f>
        <v>500</v>
      </c>
      <c r="G17" s="4"/>
    </row>
    <row r="18" spans="1:7" ht="15.75" x14ac:dyDescent="0.25">
      <c r="A18" s="4"/>
      <c r="B18" s="12" t="s">
        <v>20</v>
      </c>
      <c r="C18" s="20">
        <f>SUBTOTAL(109,PersonnelTableDec[ESTIMATED])</f>
        <v>13000</v>
      </c>
      <c r="D18" s="20">
        <f>SUBTOTAL(109,PersonnelTableDec[ACTUAL])</f>
        <v>9100</v>
      </c>
      <c r="E18" s="20"/>
      <c r="F18" s="25">
        <f>SUBTOTAL(109,PersonnelTableDec[DIFFERENCE])</f>
        <v>3900</v>
      </c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ht="15.75" x14ac:dyDescent="0.25">
      <c r="A20" s="4"/>
      <c r="B20" s="5" t="s">
        <v>22</v>
      </c>
      <c r="C20" s="5" t="s">
        <v>2</v>
      </c>
      <c r="D20" s="5" t="s">
        <v>3</v>
      </c>
      <c r="E20" s="5" t="s">
        <v>16</v>
      </c>
      <c r="F20" s="5" t="s">
        <v>17</v>
      </c>
      <c r="G20" s="4"/>
    </row>
    <row r="21" spans="1:7" ht="15.75" x14ac:dyDescent="0.25">
      <c r="A21" s="4"/>
      <c r="B21" s="50" t="s">
        <v>47</v>
      </c>
      <c r="C21" s="52">
        <v>4000</v>
      </c>
      <c r="D21" s="52">
        <v>2000</v>
      </c>
      <c r="E21" s="16">
        <f>OpExpDec[[#This Row],[ACTUAL]]+(10^-6)*ROW(OpExpDec[[#This Row],[ACTUAL]])</f>
        <v>2000.0000210000001</v>
      </c>
      <c r="F21" s="26">
        <f>OpExpDec[[#This Row],[ESTIMATED]]-OpExpDec[[#This Row],[ACTUAL]]</f>
        <v>2000</v>
      </c>
      <c r="G21" s="4"/>
    </row>
    <row r="22" spans="1:7" ht="15.75" x14ac:dyDescent="0.25">
      <c r="A22" s="4"/>
      <c r="B22" s="50" t="s">
        <v>46</v>
      </c>
      <c r="C22" s="52">
        <v>1000</v>
      </c>
      <c r="D22" s="52">
        <v>1000</v>
      </c>
      <c r="E22" s="16">
        <f>OpExpDec[[#This Row],[ACTUAL]]+(10^-6)*ROW(OpExpDec[[#This Row],[ACTUAL]])</f>
        <v>1000.0000219999999</v>
      </c>
      <c r="F22" s="26">
        <f>OpExpDec[[#This Row],[ESTIMATED]]-OpExpDec[[#This Row],[ACTUAL]]</f>
        <v>0</v>
      </c>
      <c r="G22" s="4"/>
    </row>
    <row r="23" spans="1:7" ht="15.75" x14ac:dyDescent="0.25">
      <c r="A23" s="4"/>
      <c r="B23" s="50" t="s">
        <v>48</v>
      </c>
      <c r="C23" s="52">
        <v>8000</v>
      </c>
      <c r="D23" s="52">
        <v>10000</v>
      </c>
      <c r="E23" s="16">
        <f>OpExpDec[[#This Row],[ACTUAL]]+(10^-6)*ROW(OpExpDec[[#This Row],[ACTUAL]])</f>
        <v>10000.000023000001</v>
      </c>
      <c r="F23" s="26">
        <f>OpExpDec[[#This Row],[ESTIMATED]]-OpExpDec[[#This Row],[ACTUAL]]</f>
        <v>-2000</v>
      </c>
      <c r="G23" s="4"/>
    </row>
    <row r="24" spans="1:7" ht="15.75" x14ac:dyDescent="0.25">
      <c r="A24" s="4"/>
      <c r="B24" s="50" t="s">
        <v>49</v>
      </c>
      <c r="C24" s="52">
        <v>5000</v>
      </c>
      <c r="D24" s="52">
        <v>7000</v>
      </c>
      <c r="E24" s="16">
        <f>OpExpDec[[#This Row],[ACTUAL]]+(10^-6)*ROW(OpExpDec[[#This Row],[ACTUAL]])</f>
        <v>7000.0000239999999</v>
      </c>
      <c r="F24" s="26">
        <f>OpExpDec[[#This Row],[ESTIMATED]]-OpExpDec[[#This Row],[ACTUAL]]</f>
        <v>-2000</v>
      </c>
      <c r="G24" s="4"/>
    </row>
    <row r="25" spans="1:7" ht="15.75" x14ac:dyDescent="0.25">
      <c r="A25" s="4"/>
      <c r="B25" s="50" t="s">
        <v>39</v>
      </c>
      <c r="C25" s="52">
        <v>4100</v>
      </c>
      <c r="D25" s="52">
        <v>4500</v>
      </c>
      <c r="E25" s="16">
        <f>OpExpDec[[#This Row],[ACTUAL]]+(10^-6)*ROW(OpExpDec[[#This Row],[ACTUAL]])</f>
        <v>4500.0000250000003</v>
      </c>
      <c r="F25" s="26">
        <f>OpExpDec[[#This Row],[ESTIMATED]]-OpExpDec[[#This Row],[ACTUAL]]</f>
        <v>-400</v>
      </c>
      <c r="G25" s="4"/>
    </row>
    <row r="26" spans="1:7" ht="15.75" x14ac:dyDescent="0.25">
      <c r="A26" s="4"/>
      <c r="B26" s="50" t="s">
        <v>42</v>
      </c>
      <c r="C26" s="52">
        <v>5000</v>
      </c>
      <c r="D26" s="52">
        <v>4500</v>
      </c>
      <c r="E26" s="16">
        <f>OpExpDec[[#This Row],[ACTUAL]]+(10^-6)*ROW(OpExpDec[[#This Row],[ACTUAL]])</f>
        <v>4500.0000259999997</v>
      </c>
      <c r="F26" s="26">
        <f>OpExpDec[[#This Row],[ESTIMATED]]-OpExpDec[[#This Row],[ACTUAL]]</f>
        <v>500</v>
      </c>
      <c r="G26" s="4"/>
    </row>
    <row r="27" spans="1:7" ht="15.75" x14ac:dyDescent="0.25">
      <c r="A27" s="4"/>
      <c r="B27" s="50" t="s">
        <v>36</v>
      </c>
      <c r="C27" s="52">
        <v>4500</v>
      </c>
      <c r="D27" s="52">
        <v>4000</v>
      </c>
      <c r="E27" s="16">
        <f>OpExpDec[[#This Row],[ACTUAL]]+(10^-6)*ROW(OpExpDec[[#This Row],[ACTUAL]])</f>
        <v>4000.000027</v>
      </c>
      <c r="F27" s="26">
        <f>OpExpDec[[#This Row],[ESTIMATED]]-OpExpDec[[#This Row],[ACTUAL]]</f>
        <v>500</v>
      </c>
      <c r="G27" s="4"/>
    </row>
    <row r="28" spans="1:7" ht="15.75" x14ac:dyDescent="0.25">
      <c r="A28" s="4"/>
      <c r="B28" s="50" t="s">
        <v>50</v>
      </c>
      <c r="C28" s="52">
        <v>3000</v>
      </c>
      <c r="D28" s="52">
        <v>3500</v>
      </c>
      <c r="E28" s="16">
        <f>OpExpDec[[#This Row],[ACTUAL]]+(10^-6)*ROW(OpExpDec[[#This Row],[ACTUAL]])</f>
        <v>3500.0000279999999</v>
      </c>
      <c r="F28" s="26">
        <f>OpExpDec[[#This Row],[ESTIMATED]]-OpExpDec[[#This Row],[ACTUAL]]</f>
        <v>-500</v>
      </c>
      <c r="G28" s="4"/>
    </row>
    <row r="29" spans="1:7" ht="15.75" x14ac:dyDescent="0.25">
      <c r="A29" s="4"/>
      <c r="B29" s="50" t="s">
        <v>43</v>
      </c>
      <c r="C29" s="52">
        <v>3000</v>
      </c>
      <c r="D29" s="52">
        <v>3200</v>
      </c>
      <c r="E29" s="16">
        <f>OpExpDec[[#This Row],[ACTUAL]]+(10^-6)*ROW(OpExpDec[[#This Row],[ACTUAL]])</f>
        <v>3200.0000289999998</v>
      </c>
      <c r="F29" s="26">
        <f>OpExpDec[[#This Row],[ESTIMATED]]-OpExpDec[[#This Row],[ACTUAL]]</f>
        <v>-200</v>
      </c>
      <c r="G29" s="4"/>
    </row>
    <row r="30" spans="1:7" ht="15.75" x14ac:dyDescent="0.25">
      <c r="A30" s="4"/>
      <c r="B30" s="50" t="s">
        <v>34</v>
      </c>
      <c r="C30" s="52">
        <v>2000</v>
      </c>
      <c r="D30" s="52">
        <v>2200</v>
      </c>
      <c r="E30" s="16">
        <f>OpExpDec[[#This Row],[ACTUAL]]+(10^-6)*ROW(OpExpDec[[#This Row],[ACTUAL]])</f>
        <v>2200.0000300000002</v>
      </c>
      <c r="F30" s="26">
        <f>OpExpDec[[#This Row],[ESTIMATED]]-OpExpDec[[#This Row],[ACTUAL]]</f>
        <v>-200</v>
      </c>
      <c r="G30" s="4"/>
    </row>
    <row r="31" spans="1:7" ht="15.75" x14ac:dyDescent="0.25">
      <c r="A31" s="4"/>
      <c r="B31" s="50" t="s">
        <v>30</v>
      </c>
      <c r="C31" s="52">
        <v>2000</v>
      </c>
      <c r="D31" s="52">
        <v>1500</v>
      </c>
      <c r="E31" s="16">
        <f>OpExpDec[[#This Row],[ACTUAL]]+(10^-6)*ROW(OpExpDec[[#This Row],[ACTUAL]])</f>
        <v>1500.000031</v>
      </c>
      <c r="F31" s="26">
        <f>OpExpDec[[#This Row],[ESTIMATED]]-OpExpDec[[#This Row],[ACTUAL]]</f>
        <v>500</v>
      </c>
      <c r="G31" s="4"/>
    </row>
    <row r="32" spans="1:7" ht="15.75" x14ac:dyDescent="0.25">
      <c r="A32" s="4"/>
      <c r="B32" s="50" t="s">
        <v>33</v>
      </c>
      <c r="C32" s="52">
        <v>1300</v>
      </c>
      <c r="D32" s="52">
        <v>1275</v>
      </c>
      <c r="E32" s="16">
        <f>OpExpDec[[#This Row],[ACTUAL]]+(10^-6)*ROW(OpExpDec[[#This Row],[ACTUAL]])</f>
        <v>1275.0000319999999</v>
      </c>
      <c r="F32" s="26">
        <f>OpExpDec[[#This Row],[ESTIMATED]]-OpExpDec[[#This Row],[ACTUAL]]</f>
        <v>25</v>
      </c>
      <c r="G32" s="4"/>
    </row>
    <row r="33" spans="1:7" ht="15.75" x14ac:dyDescent="0.25">
      <c r="A33" s="4"/>
      <c r="B33" s="50" t="s">
        <v>37</v>
      </c>
      <c r="C33" s="52">
        <v>1000</v>
      </c>
      <c r="D33" s="52">
        <v>1200</v>
      </c>
      <c r="E33" s="16">
        <f>OpExpDec[[#This Row],[ACTUAL]]+(10^-6)*ROW(OpExpDec[[#This Row],[ACTUAL]])</f>
        <v>1200.000033</v>
      </c>
      <c r="F33" s="26">
        <f>OpExpDec[[#This Row],[ESTIMATED]]-OpExpDec[[#This Row],[ACTUAL]]</f>
        <v>-200</v>
      </c>
      <c r="G33" s="4"/>
    </row>
    <row r="34" spans="1:7" ht="15.75" x14ac:dyDescent="0.25">
      <c r="A34" s="4"/>
      <c r="B34" s="50" t="s">
        <v>29</v>
      </c>
      <c r="C34" s="52">
        <v>1000</v>
      </c>
      <c r="D34" s="52">
        <v>1000</v>
      </c>
      <c r="E34" s="16">
        <f>OpExpDec[[#This Row],[ACTUAL]]+(10^-6)*ROW(OpExpDec[[#This Row],[ACTUAL]])</f>
        <v>1000.000034</v>
      </c>
      <c r="F34" s="26">
        <f>OpExpDec[[#This Row],[ESTIMATED]]-OpExpDec[[#This Row],[ACTUAL]]</f>
        <v>0</v>
      </c>
      <c r="G34" s="4"/>
    </row>
    <row r="35" spans="1:7" ht="15.75" x14ac:dyDescent="0.25">
      <c r="A35" s="4"/>
      <c r="B35" s="50" t="s">
        <v>31</v>
      </c>
      <c r="C35" s="52">
        <v>1000</v>
      </c>
      <c r="D35" s="52">
        <v>1000</v>
      </c>
      <c r="E35" s="16">
        <f>OpExpDec[[#This Row],[ACTUAL]]+(10^-6)*ROW(OpExpDec[[#This Row],[ACTUAL]])</f>
        <v>1000.000035</v>
      </c>
      <c r="F35" s="26">
        <f>OpExpDec[[#This Row],[ESTIMATED]]-OpExpDec[[#This Row],[ACTUAL]]</f>
        <v>0</v>
      </c>
      <c r="G35" s="4"/>
    </row>
    <row r="36" spans="1:7" ht="15.75" x14ac:dyDescent="0.25">
      <c r="A36" s="4"/>
      <c r="B36" s="50" t="s">
        <v>27</v>
      </c>
      <c r="C36" s="52">
        <v>1000</v>
      </c>
      <c r="D36" s="52">
        <v>900</v>
      </c>
      <c r="E36" s="16">
        <f>OpExpDec[[#This Row],[ACTUAL]]+(10^-6)*ROW(OpExpDec[[#This Row],[ACTUAL]])</f>
        <v>900.00003600000002</v>
      </c>
      <c r="F36" s="26">
        <f>OpExpDec[[#This Row],[ESTIMATED]]-OpExpDec[[#This Row],[ACTUAL]]</f>
        <v>100</v>
      </c>
      <c r="G36" s="4"/>
    </row>
    <row r="37" spans="1:7" ht="15.75" x14ac:dyDescent="0.25">
      <c r="A37" s="4"/>
      <c r="B37" s="50" t="s">
        <v>41</v>
      </c>
      <c r="C37" s="52">
        <v>900</v>
      </c>
      <c r="D37" s="52">
        <v>840</v>
      </c>
      <c r="E37" s="16">
        <f>OpExpDec[[#This Row],[ACTUAL]]+(10^-6)*ROW(OpExpDec[[#This Row],[ACTUAL]])</f>
        <v>840.00003700000002</v>
      </c>
      <c r="F37" s="26">
        <f>OpExpDec[[#This Row],[ESTIMATED]]-OpExpDec[[#This Row],[ACTUAL]]</f>
        <v>60</v>
      </c>
      <c r="G37" s="4"/>
    </row>
    <row r="38" spans="1:7" ht="15.75" x14ac:dyDescent="0.25">
      <c r="A38" s="4"/>
      <c r="B38" s="50" t="s">
        <v>35</v>
      </c>
      <c r="C38" s="52">
        <v>1000</v>
      </c>
      <c r="D38" s="52">
        <v>800</v>
      </c>
      <c r="E38" s="16">
        <f>OpExpDec[[#This Row],[ACTUAL]]+(10^-6)*ROW(OpExpDec[[#This Row],[ACTUAL]])</f>
        <v>800.00003800000002</v>
      </c>
      <c r="F38" s="26">
        <f>OpExpDec[[#This Row],[ESTIMATED]]-OpExpDec[[#This Row],[ACTUAL]]</f>
        <v>200</v>
      </c>
      <c r="G38" s="4"/>
    </row>
    <row r="39" spans="1:7" ht="15.75" x14ac:dyDescent="0.25">
      <c r="A39" s="4"/>
      <c r="B39" s="50" t="s">
        <v>45</v>
      </c>
      <c r="C39" s="52">
        <v>900</v>
      </c>
      <c r="D39" s="52">
        <v>800</v>
      </c>
      <c r="E39" s="16">
        <f>OpExpDec[[#This Row],[ACTUAL]]+(10^-6)*ROW(OpExpDec[[#This Row],[ACTUAL]])</f>
        <v>800.00003900000002</v>
      </c>
      <c r="F39" s="26">
        <f>OpExpDec[[#This Row],[ESTIMATED]]-OpExpDec[[#This Row],[ACTUAL]]</f>
        <v>100</v>
      </c>
      <c r="G39" s="4"/>
    </row>
    <row r="40" spans="1:7" ht="15.75" x14ac:dyDescent="0.25">
      <c r="A40" s="4"/>
      <c r="B40" s="50" t="s">
        <v>32</v>
      </c>
      <c r="C40" s="52">
        <v>500</v>
      </c>
      <c r="D40" s="52">
        <v>500</v>
      </c>
      <c r="E40" s="16">
        <f>OpExpDec[[#This Row],[ACTUAL]]+(10^-6)*ROW(OpExpDec[[#This Row],[ACTUAL]])</f>
        <v>500.00004000000001</v>
      </c>
      <c r="F40" s="26">
        <f>OpExpDec[[#This Row],[ESTIMATED]]-OpExpDec[[#This Row],[ACTUAL]]</f>
        <v>0</v>
      </c>
      <c r="G40" s="4"/>
    </row>
    <row r="41" spans="1:7" ht="15.75" x14ac:dyDescent="0.25">
      <c r="A41" s="4"/>
      <c r="B41" s="50" t="s">
        <v>38</v>
      </c>
      <c r="C41" s="52">
        <v>400</v>
      </c>
      <c r="D41" s="52">
        <v>450</v>
      </c>
      <c r="E41" s="16">
        <f>OpExpDec[[#This Row],[ACTUAL]]+(10^-6)*ROW(OpExpDec[[#This Row],[ACTUAL]])</f>
        <v>450.00004100000001</v>
      </c>
      <c r="F41" s="26">
        <f>OpExpDec[[#This Row],[ESTIMATED]]-OpExpDec[[#This Row],[ACTUAL]]</f>
        <v>-50</v>
      </c>
      <c r="G41" s="4"/>
    </row>
    <row r="42" spans="1:7" ht="15.75" x14ac:dyDescent="0.25">
      <c r="A42" s="4"/>
      <c r="B42" s="50" t="s">
        <v>40</v>
      </c>
      <c r="C42" s="52">
        <v>350</v>
      </c>
      <c r="D42" s="52">
        <v>400</v>
      </c>
      <c r="E42" s="16">
        <f>OpExpDec[[#This Row],[ACTUAL]]+(10^-6)*ROW(OpExpDec[[#This Row],[ACTUAL]])</f>
        <v>400.00004200000001</v>
      </c>
      <c r="F42" s="26">
        <f>OpExpDec[[#This Row],[ESTIMATED]]-OpExpDec[[#This Row],[ACTUAL]]</f>
        <v>-50</v>
      </c>
      <c r="G42" s="4"/>
    </row>
    <row r="43" spans="1:7" ht="15.75" x14ac:dyDescent="0.25">
      <c r="A43" s="4"/>
      <c r="B43" s="50" t="s">
        <v>44</v>
      </c>
      <c r="C43" s="52">
        <v>250</v>
      </c>
      <c r="D43" s="52">
        <v>280</v>
      </c>
      <c r="E43" s="16">
        <f>OpExpDec[[#This Row],[ACTUAL]]+(10^-6)*ROW(OpExpDec[[#This Row],[ACTUAL]])</f>
        <v>280.00004300000001</v>
      </c>
      <c r="F43" s="26">
        <f>OpExpDec[[#This Row],[ESTIMATED]]-OpExpDec[[#This Row],[ACTUAL]]</f>
        <v>-30</v>
      </c>
      <c r="G43" s="4"/>
    </row>
    <row r="44" spans="1:7" ht="15.75" x14ac:dyDescent="0.25">
      <c r="A44" s="4"/>
      <c r="B44" s="50" t="s">
        <v>28</v>
      </c>
      <c r="C44" s="52">
        <v>200</v>
      </c>
      <c r="D44" s="52">
        <v>200</v>
      </c>
      <c r="E44" s="16">
        <f>OpExpDec[[#This Row],[ACTUAL]]+(10^-6)*ROW(OpExpDec[[#This Row],[ACTUAL]])</f>
        <v>200.000044</v>
      </c>
      <c r="F44" s="26">
        <f>OpExpDec[[#This Row],[ESTIMATED]]-OpExpDec[[#This Row],[ACTUAL]]</f>
        <v>0</v>
      </c>
      <c r="G44" s="4"/>
    </row>
    <row r="45" spans="1:7" ht="15.75" x14ac:dyDescent="0.25">
      <c r="A45" s="4"/>
      <c r="B45" s="50" t="s">
        <v>51</v>
      </c>
      <c r="C45" s="52"/>
      <c r="D45" s="52"/>
      <c r="E45" s="16">
        <f>OpExpDec[[#This Row],[ACTUAL]]+(10^-6)*ROW(OpExpDec[[#This Row],[ACTUAL]])</f>
        <v>4.4999999999999996E-5</v>
      </c>
      <c r="F45" s="26">
        <f>OpExpDec[[#This Row],[ESTIMATED]]-OpExpDec[[#This Row],[ACTUAL]]</f>
        <v>0</v>
      </c>
      <c r="G45" s="4"/>
    </row>
    <row r="46" spans="1:7" ht="15.75" x14ac:dyDescent="0.25">
      <c r="A46" s="4"/>
      <c r="B46" s="50" t="s">
        <v>51</v>
      </c>
      <c r="C46" s="52"/>
      <c r="D46" s="52"/>
      <c r="E46" s="16">
        <f>OpExpDec[[#This Row],[ACTUAL]]+(10^-6)*ROW(OpExpDec[[#This Row],[ACTUAL]])</f>
        <v>4.6E-5</v>
      </c>
      <c r="F46" s="26">
        <f>OpExpDec[[#This Row],[ESTIMATED]]-OpExpDec[[#This Row],[ACTUAL]]</f>
        <v>0</v>
      </c>
      <c r="G46" s="4"/>
    </row>
    <row r="47" spans="1:7" ht="15.75" x14ac:dyDescent="0.25">
      <c r="A47" s="4"/>
      <c r="B47" s="50" t="s">
        <v>51</v>
      </c>
      <c r="C47" s="52"/>
      <c r="D47" s="52"/>
      <c r="E47" s="16">
        <f>OpExpDec[[#This Row],[ACTUAL]]+(10^-6)*ROW(OpExpDec[[#This Row],[ACTUAL]])</f>
        <v>4.6999999999999997E-5</v>
      </c>
      <c r="F47" s="26">
        <f>OpExpDec[[#This Row],[ESTIMATED]]-OpExpDec[[#This Row],[ACTUAL]]</f>
        <v>0</v>
      </c>
      <c r="G47" s="4"/>
    </row>
    <row r="48" spans="1:7" ht="15.75" x14ac:dyDescent="0.25">
      <c r="A48" s="4"/>
      <c r="B48" s="50" t="s">
        <v>51</v>
      </c>
      <c r="C48" s="52"/>
      <c r="D48" s="52"/>
      <c r="E48" s="16">
        <f>OpExpDec[[#This Row],[ACTUAL]]+(10^-6)*ROW(OpExpDec[[#This Row],[ACTUAL]])</f>
        <v>4.8000000000000001E-5</v>
      </c>
      <c r="F48" s="26">
        <f>OpExpDec[[#This Row],[ESTIMATED]]-OpExpDec[[#This Row],[ACTUAL]]</f>
        <v>0</v>
      </c>
      <c r="G48" s="4"/>
    </row>
    <row r="49" spans="1:7" ht="15.75" x14ac:dyDescent="0.25">
      <c r="A49" s="4"/>
      <c r="B49" s="15" t="s">
        <v>21</v>
      </c>
      <c r="C49" s="18">
        <f>SUBTOTAL(109,OpExpDec[ESTIMATED])</f>
        <v>51400</v>
      </c>
      <c r="D49" s="18">
        <f>SUBTOTAL(109,OpExpDec[ACTUAL])</f>
        <v>53045</v>
      </c>
      <c r="E49" s="18"/>
      <c r="F49" s="27">
        <f>SUBTOTAL(109,OpExpDec[DIFFERENCE])</f>
        <v>-1645</v>
      </c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B380" s="4"/>
      <c r="C380" s="4"/>
      <c r="D380" s="4"/>
      <c r="E380" s="4"/>
      <c r="F380" s="4"/>
    </row>
    <row r="381" spans="1:7" x14ac:dyDescent="0.25">
      <c r="B381" s="4"/>
      <c r="C381" s="4"/>
      <c r="D381" s="4"/>
      <c r="E381" s="4"/>
      <c r="F381" s="4"/>
    </row>
    <row r="382" spans="1:7" x14ac:dyDescent="0.25">
      <c r="B382" s="4"/>
      <c r="C382" s="4"/>
      <c r="D382" s="4"/>
      <c r="E382" s="4"/>
      <c r="F382" s="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Yearly Budget Summary</vt:lpstr>
      <vt:lpstr>Yearly Budget Details</vt:lpstr>
      <vt:lpstr>January Budget Summary</vt:lpstr>
      <vt:lpstr>January Budget Details</vt:lpstr>
      <vt:lpstr>February Budget Summary</vt:lpstr>
      <vt:lpstr>February Budget Details</vt:lpstr>
      <vt:lpstr>March Budget Summary</vt:lpstr>
      <vt:lpstr>March Budget Details</vt:lpstr>
      <vt:lpstr>April Budget Summary</vt:lpstr>
      <vt:lpstr>April Budget Details</vt:lpstr>
      <vt:lpstr>May Budget Summary</vt:lpstr>
      <vt:lpstr>May Budget Details</vt:lpstr>
      <vt:lpstr>June Budget Summary</vt:lpstr>
      <vt:lpstr>June Budget Details</vt:lpstr>
      <vt:lpstr>July Budget Summary</vt:lpstr>
      <vt:lpstr>July Budget Details</vt:lpstr>
      <vt:lpstr>August Budget Summary</vt:lpstr>
      <vt:lpstr>August Budget Details</vt:lpstr>
      <vt:lpstr>September Budget Summary</vt:lpstr>
      <vt:lpstr>September Budget Details</vt:lpstr>
      <vt:lpstr>October Budget Summary</vt:lpstr>
      <vt:lpstr>October Budget Details</vt:lpstr>
      <vt:lpstr>November Budget Summary</vt:lpstr>
      <vt:lpstr>November Budget Details</vt:lpstr>
      <vt:lpstr>December Budget Summary</vt:lpstr>
      <vt:lpstr>December Budget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Webert, Rebecca</dc:creator>
  <cp:lastModifiedBy>Webert, Rebecca</cp:lastModifiedBy>
  <dcterms:created xsi:type="dcterms:W3CDTF">2017-07-07T12:49:47Z</dcterms:created>
  <dcterms:modified xsi:type="dcterms:W3CDTF">2017-09-27T19:29:35Z</dcterms:modified>
</cp:coreProperties>
</file>